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xr:revisionPtr revIDLastSave="0" documentId="13_ncr:1_{D46F338D-9E66-4B22-830E-2D3B3E32DAB9}" xr6:coauthVersionLast="47" xr6:coauthVersionMax="47" xr10:uidLastSave="{00000000-0000-0000-0000-000000000000}"/>
  <bookViews>
    <workbookView xWindow="33630" yWindow="1365" windowWidth="21600" windowHeight="11235" tabRatio="855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221" r:id="rId9"/>
    <sheet name="Figure 2" sheetId="224" r:id="rId10"/>
  </sheets>
  <definedNames>
    <definedName name="_xlnm.Print_Area" localSheetId="1">'Table 1'!$A$1:$N$37</definedName>
    <definedName name="_xlnm.Print_Area" localSheetId="7">'Table 10'!$A$1:$G$43</definedName>
    <definedName name="_xlnm.Print_Area" localSheetId="2">'Table 2'!$A$1:$J$31</definedName>
    <definedName name="_xlnm.Print_Area" localSheetId="3">'Table 3'!$A$1:$L$44</definedName>
    <definedName name="_xlnm.Print_Area" localSheetId="5">'Table 8'!$A$1:$G$42</definedName>
    <definedName name="_xlnm.Print_Area" localSheetId="6">'Table 9'!$A$1:$I$44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  <c r="J7" i="1" s="1"/>
  <c r="J25" i="1"/>
  <c r="J24" i="1"/>
  <c r="J23" i="1"/>
  <c r="J21" i="1"/>
  <c r="J20" i="1"/>
  <c r="J19" i="1"/>
  <c r="J17" i="1"/>
  <c r="J16" i="1"/>
  <c r="J15" i="1"/>
  <c r="J13" i="1"/>
  <c r="J12" i="1"/>
  <c r="J11" i="1"/>
  <c r="I28" i="9"/>
  <c r="H29" i="2" l="1"/>
  <c r="J29" i="9"/>
  <c r="D29" i="9"/>
  <c r="D29" i="2"/>
  <c r="E4" i="224" l="1"/>
  <c r="E5" i="224"/>
  <c r="E6" i="224"/>
  <c r="E7" i="224"/>
  <c r="E8" i="224"/>
  <c r="E9" i="224"/>
  <c r="E10" i="224"/>
  <c r="E11" i="224"/>
  <c r="E12" i="224"/>
  <c r="E3" i="224"/>
  <c r="L35" i="1"/>
  <c r="G35" i="1"/>
  <c r="L32" i="1" l="1"/>
  <c r="B29" i="9" l="1"/>
  <c r="E29" i="9" s="1"/>
  <c r="K29" i="9" s="1"/>
  <c r="G29" i="9" s="1"/>
  <c r="B29" i="2"/>
  <c r="E29" i="2" s="1"/>
  <c r="J35" i="1"/>
  <c r="B13" i="9"/>
  <c r="B14" i="9"/>
  <c r="B15" i="9"/>
  <c r="B16" i="9"/>
  <c r="B17" i="9"/>
  <c r="B18" i="9"/>
  <c r="B19" i="9"/>
  <c r="B20" i="9"/>
  <c r="B21" i="9"/>
  <c r="B12" i="9"/>
  <c r="I29" i="2" l="1"/>
  <c r="G29" i="2" s="1"/>
  <c r="J34" i="1"/>
  <c r="J32" i="1"/>
  <c r="J31" i="1"/>
  <c r="J30" i="1"/>
  <c r="G34" i="1" l="1"/>
  <c r="G30" i="1"/>
  <c r="D28" i="2" l="1"/>
  <c r="B28" i="9"/>
  <c r="E28" i="9" s="1"/>
  <c r="K28" i="9" s="1"/>
  <c r="G28" i="9" s="1"/>
  <c r="D28" i="9"/>
  <c r="J28" i="9"/>
  <c r="H28" i="2"/>
  <c r="L34" i="1"/>
  <c r="B28" i="2" l="1"/>
  <c r="E28" i="2" s="1"/>
  <c r="I28" i="2" s="1"/>
  <c r="G28" i="2" s="1"/>
  <c r="B7" i="2" l="1"/>
  <c r="B26" i="2"/>
  <c r="J27" i="9" l="1"/>
  <c r="D27" i="9"/>
  <c r="H27" i="2" l="1"/>
  <c r="D27" i="2"/>
  <c r="G32" i="1" l="1"/>
  <c r="E33" i="1" l="1"/>
  <c r="B27" i="2"/>
  <c r="E27" i="2" s="1"/>
  <c r="I27" i="2" s="1"/>
  <c r="G27" i="2" s="1"/>
  <c r="B27" i="9"/>
  <c r="E27" i="9" s="1"/>
  <c r="K27" i="9" s="1"/>
  <c r="G27" i="9" s="1"/>
  <c r="I27" i="9" s="1"/>
  <c r="G8" i="9" l="1"/>
  <c r="H26" i="2" l="1"/>
  <c r="D26" i="2"/>
  <c r="D26" i="9" l="1"/>
  <c r="G31" i="1"/>
  <c r="J26" i="9"/>
  <c r="L31" i="1"/>
  <c r="J22" i="9" l="1"/>
  <c r="J21" i="9"/>
  <c r="J20" i="9"/>
  <c r="J19" i="9"/>
  <c r="J18" i="9"/>
  <c r="J17" i="9"/>
  <c r="J16" i="9"/>
  <c r="J15" i="9"/>
  <c r="J14" i="9"/>
  <c r="J13" i="9"/>
  <c r="J12" i="9"/>
  <c r="J11" i="9"/>
  <c r="D22" i="9"/>
  <c r="D21" i="9"/>
  <c r="D20" i="9"/>
  <c r="D19" i="9"/>
  <c r="D18" i="9"/>
  <c r="D17" i="9"/>
  <c r="D16" i="9"/>
  <c r="D15" i="9"/>
  <c r="D14" i="9"/>
  <c r="D13" i="9"/>
  <c r="D12" i="9"/>
  <c r="D11" i="9"/>
  <c r="E26" i="2" l="1"/>
  <c r="I26" i="2" s="1"/>
  <c r="G26" i="2" s="1"/>
  <c r="B26" i="9"/>
  <c r="E26" i="9" s="1"/>
  <c r="K26" i="9" s="1"/>
  <c r="G26" i="9" s="1"/>
  <c r="I26" i="9" s="1"/>
  <c r="H23" i="9"/>
  <c r="J23" i="9" l="1"/>
  <c r="D23" i="9"/>
  <c r="C23" i="9"/>
  <c r="E22" i="9"/>
  <c r="K22" i="9" s="1"/>
  <c r="G22" i="9" s="1"/>
  <c r="I22" i="9" s="1"/>
  <c r="E21" i="9"/>
  <c r="E20" i="9"/>
  <c r="E19" i="9"/>
  <c r="E18" i="9"/>
  <c r="E17" i="9"/>
  <c r="E16" i="9"/>
  <c r="E15" i="9"/>
  <c r="E14" i="9"/>
  <c r="E13" i="9"/>
  <c r="E12" i="9"/>
  <c r="E11" i="9"/>
  <c r="K11" i="9" s="1"/>
  <c r="G11" i="9" s="1"/>
  <c r="I11" i="9" s="1"/>
  <c r="L7" i="9"/>
  <c r="B11" i="2"/>
  <c r="J7" i="2"/>
  <c r="B8" i="2" s="1"/>
  <c r="H23" i="2"/>
  <c r="D23" i="2"/>
  <c r="D7" i="2" s="1"/>
  <c r="C23" i="2"/>
  <c r="C7" i="2" s="1"/>
  <c r="H22" i="2"/>
  <c r="D22" i="2"/>
  <c r="B22" i="2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H18" i="2"/>
  <c r="D18" i="2"/>
  <c r="B18" i="2"/>
  <c r="H17" i="2"/>
  <c r="D17" i="2"/>
  <c r="B17" i="2"/>
  <c r="H16" i="2"/>
  <c r="D16" i="2"/>
  <c r="B16" i="2"/>
  <c r="E16" i="2" s="1"/>
  <c r="I16" i="2" s="1"/>
  <c r="G16" i="2" s="1"/>
  <c r="H15" i="2"/>
  <c r="D15" i="2"/>
  <c r="B15" i="2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K20" i="9" l="1"/>
  <c r="K14" i="9"/>
  <c r="K15" i="9"/>
  <c r="K16" i="9"/>
  <c r="K17" i="9"/>
  <c r="K18" i="9"/>
  <c r="K19" i="9"/>
  <c r="K21" i="9"/>
  <c r="K13" i="9"/>
  <c r="K12" i="9"/>
  <c r="E14" i="2"/>
  <c r="I14" i="2" s="1"/>
  <c r="G14" i="2" s="1"/>
  <c r="E23" i="9"/>
  <c r="J7" i="9"/>
  <c r="C7" i="9"/>
  <c r="D7" i="9"/>
  <c r="E23" i="2"/>
  <c r="E18" i="2"/>
  <c r="I18" i="2" s="1"/>
  <c r="G18" i="2" s="1"/>
  <c r="E13" i="2"/>
  <c r="I13" i="2" s="1"/>
  <c r="G13" i="2" s="1"/>
  <c r="E17" i="2"/>
  <c r="I17" i="2" s="1"/>
  <c r="G17" i="2" s="1"/>
  <c r="E21" i="2"/>
  <c r="I21" i="2" s="1"/>
  <c r="G21" i="2" s="1"/>
  <c r="E7" i="2"/>
  <c r="G7" i="2" s="1"/>
  <c r="E22" i="2"/>
  <c r="I22" i="2" s="1"/>
  <c r="G22" i="2" s="1"/>
  <c r="E15" i="2"/>
  <c r="I15" i="2" s="1"/>
  <c r="G15" i="2" s="1"/>
  <c r="E19" i="2"/>
  <c r="I19" i="2" s="1"/>
  <c r="G19" i="2" s="1"/>
  <c r="E8" i="2"/>
  <c r="E6" i="9"/>
  <c r="E14" i="1"/>
  <c r="E18" i="1"/>
  <c r="I31" i="3"/>
  <c r="I32" i="3"/>
  <c r="L6" i="1"/>
  <c r="G6" i="1"/>
  <c r="J6" i="1"/>
  <c r="G23" i="2" l="1"/>
  <c r="G19" i="9"/>
  <c r="G20" i="9"/>
  <c r="G18" i="9"/>
  <c r="G17" i="9"/>
  <c r="G16" i="9"/>
  <c r="G13" i="9"/>
  <c r="G15" i="9"/>
  <c r="G21" i="9"/>
  <c r="G14" i="9"/>
  <c r="G12" i="9"/>
  <c r="K23" i="9"/>
  <c r="G23" i="9" s="1"/>
  <c r="I23" i="9" s="1"/>
  <c r="I7" i="2"/>
  <c r="E11" i="2"/>
  <c r="I11" i="2" s="1"/>
  <c r="I23" i="2" s="1"/>
  <c r="L30" i="1"/>
  <c r="L33" i="1" s="1"/>
  <c r="J33" i="1"/>
  <c r="I14" i="9" l="1"/>
  <c r="I13" i="9"/>
  <c r="I16" i="9"/>
  <c r="I17" i="9"/>
  <c r="I18" i="9"/>
  <c r="I21" i="9"/>
  <c r="I20" i="9"/>
  <c r="I15" i="9"/>
  <c r="I19" i="9"/>
  <c r="I12" i="9"/>
  <c r="G11" i="2"/>
  <c r="G27" i="1"/>
  <c r="G7" i="1" s="1"/>
  <c r="G33" i="1"/>
  <c r="H33" i="1" s="1"/>
  <c r="M33" i="1" s="1"/>
  <c r="K33" i="1" s="1"/>
  <c r="N7" i="1" l="1"/>
  <c r="L27" i="1"/>
  <c r="L7" i="1" s="1"/>
  <c r="E26" i="1"/>
  <c r="L25" i="1"/>
  <c r="G25" i="1"/>
  <c r="L24" i="1"/>
  <c r="G24" i="1"/>
  <c r="L23" i="1"/>
  <c r="G23" i="1"/>
  <c r="E22" i="1"/>
  <c r="L21" i="1"/>
  <c r="G21" i="1"/>
  <c r="L20" i="1"/>
  <c r="G20" i="1"/>
  <c r="L19" i="1"/>
  <c r="G19" i="1"/>
  <c r="L17" i="1"/>
  <c r="G17" i="1"/>
  <c r="L16" i="1"/>
  <c r="G16" i="1"/>
  <c r="L15" i="1"/>
  <c r="G15" i="1"/>
  <c r="L13" i="1"/>
  <c r="G13" i="1"/>
  <c r="L12" i="1"/>
  <c r="G12" i="1"/>
  <c r="L11" i="1"/>
  <c r="G11" i="1"/>
  <c r="E7" i="1"/>
  <c r="G26" i="1" l="1"/>
  <c r="H26" i="1" s="1"/>
  <c r="M26" i="1" s="1"/>
  <c r="L18" i="1"/>
  <c r="J14" i="1"/>
  <c r="J22" i="1"/>
  <c r="G14" i="1"/>
  <c r="G18" i="1"/>
  <c r="H18" i="1" s="1"/>
  <c r="M18" i="1" s="1"/>
  <c r="L14" i="1"/>
  <c r="J18" i="1"/>
  <c r="H14" i="1"/>
  <c r="G22" i="1"/>
  <c r="H22" i="1" s="1"/>
  <c r="M22" i="1" s="1"/>
  <c r="J26" i="1"/>
  <c r="E8" i="1"/>
  <c r="L26" i="1"/>
  <c r="L22" i="1"/>
  <c r="M14" i="1" l="1"/>
  <c r="K14" i="1" s="1"/>
  <c r="K26" i="1"/>
  <c r="K18" i="1"/>
  <c r="K22" i="1"/>
  <c r="D46" i="3" l="1"/>
  <c r="O45" i="3"/>
  <c r="D8" i="1" l="1"/>
  <c r="D7" i="1" l="1"/>
  <c r="D6" i="1"/>
  <c r="B7" i="9"/>
  <c r="E7" i="9" s="1"/>
  <c r="K7" i="9" s="1"/>
  <c r="G7" i="9" s="1"/>
  <c r="H44" i="3"/>
  <c r="N44" i="3" s="1"/>
  <c r="L44" i="3" s="1"/>
  <c r="D45" i="3"/>
  <c r="D44" i="3"/>
  <c r="E31" i="3"/>
  <c r="B20" i="3"/>
  <c r="E20" i="3" s="1"/>
  <c r="G20" i="3" s="1"/>
  <c r="I20" i="3" s="1"/>
  <c r="E19" i="3"/>
  <c r="G19" i="3" s="1"/>
  <c r="I19" i="3" s="1"/>
  <c r="J7" i="3"/>
  <c r="B7" i="3"/>
  <c r="E7" i="3" s="1"/>
  <c r="E6" i="3"/>
  <c r="J6" i="3" s="1"/>
  <c r="I6" i="3" s="1"/>
  <c r="K7" i="3" l="1"/>
  <c r="I33" i="3" l="1"/>
  <c r="I8" i="2" l="1"/>
  <c r="J8" i="3"/>
  <c r="K8" i="9" l="1"/>
  <c r="B8" i="9" l="1"/>
  <c r="K6" i="9" l="1"/>
  <c r="G6" i="9" s="1"/>
  <c r="I6" i="9" s="1"/>
  <c r="E6" i="2"/>
  <c r="I6" i="2" s="1"/>
  <c r="B38" i="1"/>
  <c r="N46" i="3"/>
  <c r="G6" i="2" l="1"/>
  <c r="H6" i="1" l="1"/>
  <c r="M6" i="1" s="1"/>
  <c r="K6" i="1" l="1"/>
  <c r="M8" i="1" l="1"/>
  <c r="I21" i="3" l="1"/>
  <c r="B45" i="6" l="1"/>
  <c r="B45" i="5"/>
  <c r="B44" i="4"/>
  <c r="B50" i="3"/>
  <c r="B32" i="9"/>
  <c r="B32" i="2"/>
  <c r="H7" i="1" l="1"/>
  <c r="E45" i="3"/>
  <c r="H45" i="3" s="1"/>
  <c r="N45" i="3" s="1"/>
  <c r="M7" i="1" l="1"/>
  <c r="B21" i="3"/>
  <c r="E21" i="3" s="1"/>
  <c r="J21" i="3" s="1"/>
  <c r="H8" i="1" l="1"/>
  <c r="N8" i="1" s="1"/>
  <c r="B33" i="3" l="1"/>
  <c r="E33" i="3" s="1"/>
  <c r="J33" i="3" s="1"/>
  <c r="E8" i="9" l="1"/>
  <c r="L8" i="9" s="1"/>
  <c r="B8" i="3" l="1"/>
  <c r="E8" i="3" s="1"/>
  <c r="K8" i="3" s="1"/>
  <c r="E46" i="3" l="1"/>
  <c r="H46" i="3" s="1"/>
  <c r="O46" i="3" s="1"/>
  <c r="L45" i="3"/>
  <c r="K7" i="1" l="1"/>
  <c r="J8" i="2" l="1"/>
  <c r="I7" i="9" l="1"/>
  <c r="B32" i="3" l="1"/>
  <c r="E32" i="3" s="1"/>
  <c r="J31" i="3"/>
</calcChain>
</file>

<file path=xl/sharedStrings.xml><?xml version="1.0" encoding="utf-8"?>
<sst xmlns="http://schemas.openxmlformats.org/spreadsheetml/2006/main" count="520" uniqueCount="169">
  <si>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</si>
  <si>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</si>
  <si>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</si>
  <si>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</si>
  <si>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</si>
  <si>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</si>
  <si>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</si>
  <si>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</si>
  <si>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</si>
  <si>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</si>
  <si>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</si>
  <si>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Data for figures are located after the 10 data tables.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</si>
  <si>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</si>
  <si>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</si>
  <si>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</si>
  <si>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</si>
  <si>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</si>
  <si>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</si>
  <si>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</si>
  <si>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</si>
  <si>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</si>
  <si>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</si>
  <si>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</si>
  <si>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</si>
  <si>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</si>
  <si>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</si>
  <si>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</si>
  <si>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</si>
  <si>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</si>
  <si>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</si>
  <si>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</si>
  <si>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</si>
  <si>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</si>
  <si>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</si>
  <si>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</si>
  <si>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2022/23</t>
  </si>
  <si>
    <r>
      <t>2023/24</t>
    </r>
    <r>
      <rPr>
        <vertAlign val="superscript"/>
        <sz val="11"/>
        <rFont val="Arial"/>
        <family val="2"/>
      </rPr>
      <t>1</t>
    </r>
  </si>
  <si>
    <r>
      <t>2024/25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</si>
  <si>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</si>
  <si>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</si>
  <si>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</si>
  <si>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</si>
  <si>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</si>
  <si>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</si>
  <si>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</si>
  <si>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</si>
  <si>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</si>
  <si>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</si>
  <si>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</si>
  <si>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>June</t>
  </si>
  <si>
    <t>July</t>
  </si>
  <si>
    <t>August</t>
  </si>
  <si>
    <t xml:space="preserve">  June–August</t>
  </si>
  <si>
    <t>2023/24</t>
  </si>
  <si>
    <t xml:space="preserve"> March-May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</si>
  <si>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</si>
  <si>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</si>
  <si>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</si>
  <si>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</si>
  <si>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</si>
  <si>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</si>
  <si>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</si>
  <si>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</si>
  <si>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</si>
  <si>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</si>
  <si>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</si>
  <si>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</si>
  <si>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</si>
  <si>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</si>
  <si>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</si>
  <si>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</si>
  <si>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</si>
  <si>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</si>
  <si>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</si>
  <si>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</si>
  <si>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</si>
  <si>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</si>
  <si>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</si>
  <si>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</si>
  <si>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</si>
  <si>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</si>
  <si>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</si>
  <si>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</si>
  <si>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</si>
  <si>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</si>
  <si>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</si>
  <si>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</si>
  <si>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</si>
  <si>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</si>
  <si>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</si>
  <si>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</si>
  <si>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</si>
  <si>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</si>
  <si>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</si>
  <si>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</si>
  <si>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</si>
  <si>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</si>
  <si>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</si>
  <si>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</si>
  <si>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</si>
  <si>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</si>
  <si>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</si>
  <si>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</si>
  <si>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</si>
  <si>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</si>
  <si>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</si>
  <si>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</si>
  <si>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</si>
  <si>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</si>
  <si>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</si>
  <si>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</si>
  <si>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</si>
  <si>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</si>
  <si>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</si>
  <si>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</si>
  <si>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</si>
  <si>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</si>
  <si>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</si>
  <si>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</si>
  <si>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</si>
  <si>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</si>
  <si>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</si>
  <si>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r>
      <t>2023/24</t>
    </r>
    <r>
      <rPr>
        <vertAlign val="superscript"/>
        <sz val="11"/>
        <rFont val="Arial"/>
        <family val="2"/>
      </rPr>
      <t>4</t>
    </r>
  </si>
  <si>
    <r>
      <t>2024/25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</si>
  <si>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</si>
  <si>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</si>
  <si>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</si>
  <si>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</si>
  <si>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</si>
  <si>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</si>
  <si>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</si>
  <si>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</si>
  <si>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</si>
  <si>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</si>
  <si>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</si>
  <si>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</si>
  <si>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</si>
  <si>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</si>
  <si>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</si>
  <si>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</si>
  <si>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</si>
  <si>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2023/24</t>
    </r>
    <r>
      <rPr>
        <vertAlign val="superscript"/>
        <sz val="11"/>
        <rFont val="Arial"/>
        <family val="2"/>
      </rPr>
      <t>7</t>
    </r>
  </si>
  <si>
    <r>
      <t>2024/25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</si>
  <si>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</si>
  <si>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</si>
  <si>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</si>
  <si>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</si>
  <si>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</si>
  <si>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</si>
  <si>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</si>
  <si>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</si>
  <si>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</si>
  <si>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</si>
  <si>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</si>
  <si>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</si>
  <si>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</si>
  <si>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</si>
  <si>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</si>
  <si>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2024/25</t>
  </si>
  <si>
    <t xml:space="preserve">January </t>
  </si>
  <si>
    <t>Date</t>
  </si>
  <si>
    <t>Argentina, FOB, Up River</t>
  </si>
  <si>
    <t>Total meal consumption</t>
  </si>
  <si>
    <t>Meal growth</t>
  </si>
  <si>
    <t xml:space="preserve"> Palm oil, Malaysia, FOB </t>
  </si>
  <si>
    <t>Soybean oil, Argentina, FOB, Up River</t>
  </si>
  <si>
    <t>2024/25 YTD</t>
  </si>
  <si>
    <t>Soybean oil, United States, FOB, Gulf</t>
  </si>
  <si>
    <t>United States, FOB, Gulf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</si>
</sst>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0000"/>
    <numFmt numFmtId="175" formatCode="0.000000"/>
    <numFmt numFmtId="176" formatCode="0.0000000"/>
    <numFmt numFmtId="177" formatCode="0.000"/>
    <numFmt numFmtId="178" formatCode="#,##0.000"/>
    <numFmt numFmtId="179" formatCode="#,##0___)"/>
    <numFmt numFmtId="180" formatCode="#,##0.000000000000"/>
  </numFmts>
  <fonts count="1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9"/>
      <color indexed="12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2"/>
      <name val="Helv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Helvetica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1">
    <xf numFmtId="0" fontId="0" fillId="0" borderId="0"/>
    <xf numFmtId="43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0" fillId="0" borderId="0"/>
    <xf numFmtId="0" fontId="56" fillId="0" borderId="0"/>
    <xf numFmtId="0" fontId="56" fillId="0" borderId="0"/>
    <xf numFmtId="0" fontId="56" fillId="0" borderId="0"/>
    <xf numFmtId="0" fontId="67" fillId="0" borderId="0"/>
    <xf numFmtId="9" fontId="5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55" fillId="0" borderId="0"/>
    <xf numFmtId="0" fontId="69" fillId="0" borderId="0"/>
    <xf numFmtId="0" fontId="54" fillId="0" borderId="0"/>
    <xf numFmtId="0" fontId="53" fillId="0" borderId="0"/>
    <xf numFmtId="43" fontId="55" fillId="0" borderId="0" applyFont="0" applyFill="0" applyBorder="0" applyAlignment="0" applyProtection="0"/>
    <xf numFmtId="0" fontId="55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43" fontId="51" fillId="0" borderId="0" applyFont="0" applyFill="0" applyBorder="0" applyAlignment="0" applyProtection="0"/>
    <xf numFmtId="0" fontId="50" fillId="0" borderId="0"/>
    <xf numFmtId="43" fontId="50" fillId="0" borderId="0" applyFont="0" applyFill="0" applyBorder="0" applyAlignment="0" applyProtection="0"/>
    <xf numFmtId="0" fontId="49" fillId="0" borderId="0"/>
    <xf numFmtId="0" fontId="48" fillId="0" borderId="0"/>
    <xf numFmtId="43" fontId="48" fillId="0" borderId="0" applyFont="0" applyFill="0" applyBorder="0" applyAlignment="0" applyProtection="0"/>
    <xf numFmtId="0" fontId="47" fillId="0" borderId="0"/>
    <xf numFmtId="44" fontId="55" fillId="0" borderId="0" applyFont="0" applyFill="0" applyBorder="0" applyAlignment="0" applyProtection="0"/>
    <xf numFmtId="0" fontId="46" fillId="0" borderId="0"/>
    <xf numFmtId="0" fontId="45" fillId="0" borderId="0"/>
    <xf numFmtId="0" fontId="44" fillId="0" borderId="0"/>
    <xf numFmtId="0" fontId="43" fillId="0" borderId="0"/>
    <xf numFmtId="43" fontId="42" fillId="0" borderId="0" applyFont="0" applyFill="0" applyBorder="0" applyAlignment="0" applyProtection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43" fontId="21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76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77" fillId="0" borderId="8" applyNumberFormat="0" applyFont="0" applyProtection="0">
      <alignment wrapText="1"/>
    </xf>
    <xf numFmtId="43" fontId="14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77" fillId="0" borderId="0" applyNumberFormat="0" applyProtection="0">
      <alignment vertical="top" wrapText="1"/>
    </xf>
    <xf numFmtId="0" fontId="77" fillId="0" borderId="9" applyNumberFormat="0" applyProtection="0">
      <alignment vertical="top" wrapText="1"/>
    </xf>
    <xf numFmtId="0" fontId="79" fillId="0" borderId="7" applyNumberFormat="0" applyProtection="0">
      <alignment wrapText="1"/>
    </xf>
    <xf numFmtId="0" fontId="79" fillId="0" borderId="10" applyNumberFormat="0" applyProtection="0">
      <alignment horizontal="left" wrapText="1"/>
    </xf>
    <xf numFmtId="0" fontId="80" fillId="0" borderId="0" applyNumberFormat="0" applyFill="0" applyBorder="0" applyAlignment="0" applyProtection="0">
      <alignment vertical="top"/>
      <protection locked="0"/>
    </xf>
    <xf numFmtId="0" fontId="79" fillId="0" borderId="11" applyNumberFormat="0" applyProtection="0">
      <alignment wrapText="1"/>
    </xf>
    <xf numFmtId="0" fontId="77" fillId="0" borderId="12" applyNumberFormat="0" applyFont="0" applyFill="0" applyProtection="0">
      <alignment wrapText="1"/>
    </xf>
    <xf numFmtId="0" fontId="79" fillId="0" borderId="13" applyNumberFormat="0" applyFill="0" applyProtection="0">
      <alignment wrapText="1"/>
    </xf>
    <xf numFmtId="0" fontId="81" fillId="0" borderId="0" applyNumberFormat="0" applyProtection="0">
      <alignment horizontal="left"/>
    </xf>
    <xf numFmtId="0" fontId="82" fillId="0" borderId="0" applyNumberFormat="0" applyFill="0" applyBorder="0" applyAlignment="0" applyProtection="0"/>
    <xf numFmtId="0" fontId="83" fillId="0" borderId="7" applyNumberFormat="0" applyFill="0" applyAlignment="0" applyProtection="0"/>
    <xf numFmtId="0" fontId="84" fillId="0" borderId="14" applyNumberFormat="0" applyFill="0" applyAlignment="0" applyProtection="0"/>
    <xf numFmtId="0" fontId="85" fillId="0" borderId="15" applyNumberFormat="0" applyFill="0" applyAlignment="0" applyProtection="0"/>
    <xf numFmtId="0" fontId="85" fillId="0" borderId="0" applyNumberFormat="0" applyFill="0" applyBorder="0" applyAlignment="0" applyProtection="0"/>
    <xf numFmtId="0" fontId="86" fillId="3" borderId="0" applyNumberFormat="0" applyBorder="0" applyAlignment="0" applyProtection="0"/>
    <xf numFmtId="0" fontId="87" fillId="4" borderId="0" applyNumberFormat="0" applyBorder="0" applyAlignment="0" applyProtection="0"/>
    <xf numFmtId="0" fontId="88" fillId="5" borderId="0" applyNumberFormat="0" applyBorder="0" applyAlignment="0" applyProtection="0"/>
    <xf numFmtId="0" fontId="89" fillId="6" borderId="16" applyNumberFormat="0" applyAlignment="0" applyProtection="0"/>
    <xf numFmtId="0" fontId="90" fillId="7" borderId="17" applyNumberFormat="0" applyAlignment="0" applyProtection="0"/>
    <xf numFmtId="0" fontId="91" fillId="7" borderId="16" applyNumberFormat="0" applyAlignment="0" applyProtection="0"/>
    <xf numFmtId="0" fontId="92" fillId="0" borderId="18" applyNumberFormat="0" applyFill="0" applyAlignment="0" applyProtection="0"/>
    <xf numFmtId="0" fontId="93" fillId="8" borderId="19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21" applyNumberFormat="0" applyFill="0" applyAlignment="0" applyProtection="0"/>
    <xf numFmtId="0" fontId="97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97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97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97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97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97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5" fillId="55" borderId="32" applyNumberFormat="0" applyFont="0" applyAlignment="0" applyProtection="0"/>
    <xf numFmtId="0" fontId="55" fillId="55" borderId="40" applyNumberFormat="0" applyFont="0" applyAlignment="0" applyProtection="0"/>
    <xf numFmtId="0" fontId="107" fillId="52" borderId="39" applyNumberFormat="0" applyAlignment="0" applyProtection="0"/>
    <xf numFmtId="0" fontId="13" fillId="9" borderId="20" applyNumberFormat="0" applyFont="0" applyAlignment="0" applyProtection="0"/>
    <xf numFmtId="0" fontId="107" fillId="52" borderId="31" applyNumberFormat="0" applyAlignment="0" applyProtection="0"/>
    <xf numFmtId="0" fontId="98" fillId="0" borderId="0"/>
    <xf numFmtId="0" fontId="13" fillId="23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97" fillId="33" borderId="0" applyNumberFormat="0" applyBorder="0" applyAlignment="0" applyProtection="0"/>
    <xf numFmtId="43" fontId="100" fillId="0" borderId="0" applyFont="0" applyFill="0" applyBorder="0" applyAlignment="0" applyProtection="0"/>
    <xf numFmtId="0" fontId="97" fillId="29" borderId="0" applyNumberFormat="0" applyBorder="0" applyAlignment="0" applyProtection="0"/>
    <xf numFmtId="43" fontId="13" fillId="0" borderId="0" applyFont="0" applyFill="0" applyBorder="0" applyAlignment="0" applyProtection="0"/>
    <xf numFmtId="0" fontId="97" fillId="25" borderId="0" applyNumberFormat="0" applyBorder="0" applyAlignment="0" applyProtection="0"/>
    <xf numFmtId="43" fontId="100" fillId="0" borderId="0" applyFont="0" applyFill="0" applyBorder="0" applyAlignment="0" applyProtection="0"/>
    <xf numFmtId="43" fontId="100" fillId="0" borderId="0" applyFont="0" applyFill="0" applyBorder="0" applyAlignment="0" applyProtection="0"/>
    <xf numFmtId="0" fontId="97" fillId="21" borderId="0" applyNumberFormat="0" applyBorder="0" applyAlignment="0" applyProtection="0"/>
    <xf numFmtId="43" fontId="100" fillId="0" borderId="0" applyFont="0" applyFill="0" applyBorder="0" applyAlignment="0" applyProtection="0"/>
    <xf numFmtId="0" fontId="97" fillId="17" borderId="0" applyNumberFormat="0" applyBorder="0" applyAlignment="0" applyProtection="0"/>
    <xf numFmtId="43" fontId="100" fillId="0" borderId="0" applyFont="0" applyFill="0" applyBorder="0" applyAlignment="0" applyProtection="0"/>
    <xf numFmtId="0" fontId="97" fillId="13" borderId="0" applyNumberFormat="0" applyBorder="0" applyAlignment="0" applyProtection="0"/>
    <xf numFmtId="43" fontId="100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101" fillId="5" borderId="0" applyNumberFormat="0" applyBorder="0" applyAlignment="0" applyProtection="0"/>
    <xf numFmtId="0" fontId="98" fillId="0" borderId="0"/>
    <xf numFmtId="0" fontId="98" fillId="0" borderId="0"/>
    <xf numFmtId="0" fontId="55" fillId="0" borderId="0">
      <alignment vertical="center"/>
    </xf>
    <xf numFmtId="0" fontId="13" fillId="0" borderId="0"/>
    <xf numFmtId="0" fontId="13" fillId="9" borderId="20" applyNumberFormat="0" applyFont="0" applyAlignment="0" applyProtection="0"/>
    <xf numFmtId="0" fontId="102" fillId="0" borderId="0" applyNumberFormat="0" applyFill="0" applyBorder="0" applyAlignment="0" applyProtection="0"/>
    <xf numFmtId="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103" fillId="0" borderId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97" fillId="21" borderId="0" applyNumberFormat="0" applyBorder="0" applyAlignment="0" applyProtection="0"/>
    <xf numFmtId="0" fontId="97" fillId="25" borderId="0" applyNumberFormat="0" applyBorder="0" applyAlignment="0" applyProtection="0"/>
    <xf numFmtId="0" fontId="97" fillId="33" borderId="0" applyNumberFormat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03" fillId="0" borderId="0"/>
    <xf numFmtId="0" fontId="13" fillId="0" borderId="0"/>
    <xf numFmtId="0" fontId="98" fillId="0" borderId="0"/>
    <xf numFmtId="0" fontId="103" fillId="0" borderId="0"/>
    <xf numFmtId="0" fontId="13" fillId="0" borderId="0"/>
    <xf numFmtId="0" fontId="13" fillId="9" borderId="20" applyNumberFormat="0" applyFont="0" applyAlignment="0" applyProtection="0"/>
    <xf numFmtId="0" fontId="13" fillId="9" borderId="20" applyNumberFormat="0" applyFont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97" fillId="21" borderId="0" applyNumberFormat="0" applyBorder="0" applyAlignment="0" applyProtection="0"/>
    <xf numFmtId="0" fontId="97" fillId="25" borderId="0" applyNumberFormat="0" applyBorder="0" applyAlignment="0" applyProtection="0"/>
    <xf numFmtId="0" fontId="97" fillId="33" borderId="0" applyNumberFormat="0" applyBorder="0" applyAlignment="0" applyProtection="0"/>
    <xf numFmtId="0" fontId="13" fillId="0" borderId="0"/>
    <xf numFmtId="0" fontId="13" fillId="9" borderId="20" applyNumberFormat="0" applyFont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43" fontId="13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9" borderId="20" applyNumberFormat="0" applyFont="0" applyAlignment="0" applyProtection="0"/>
    <xf numFmtId="0" fontId="100" fillId="34" borderId="0" applyNumberFormat="0" applyBorder="0" applyAlignment="0" applyProtection="0"/>
    <xf numFmtId="0" fontId="100" fillId="35" borderId="0" applyNumberFormat="0" applyBorder="0" applyAlignment="0" applyProtection="0"/>
    <xf numFmtId="0" fontId="100" fillId="36" borderId="0" applyNumberFormat="0" applyBorder="0" applyAlignment="0" applyProtection="0"/>
    <xf numFmtId="0" fontId="100" fillId="37" borderId="0" applyNumberFormat="0" applyBorder="0" applyAlignment="0" applyProtection="0"/>
    <xf numFmtId="0" fontId="100" fillId="38" borderId="0" applyNumberFormat="0" applyBorder="0" applyAlignment="0" applyProtection="0"/>
    <xf numFmtId="0" fontId="100" fillId="39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2" borderId="0" applyNumberFormat="0" applyBorder="0" applyAlignment="0" applyProtection="0"/>
    <xf numFmtId="0" fontId="100" fillId="37" borderId="0" applyNumberFormat="0" applyBorder="0" applyAlignment="0" applyProtection="0"/>
    <xf numFmtId="0" fontId="100" fillId="40" borderId="0" applyNumberFormat="0" applyBorder="0" applyAlignment="0" applyProtection="0"/>
    <xf numFmtId="0" fontId="100" fillId="43" borderId="0" applyNumberFormat="0" applyBorder="0" applyAlignment="0" applyProtection="0"/>
    <xf numFmtId="0" fontId="105" fillId="44" borderId="0" applyNumberFormat="0" applyBorder="0" applyAlignment="0" applyProtection="0"/>
    <xf numFmtId="0" fontId="105" fillId="41" borderId="0" applyNumberFormat="0" applyBorder="0" applyAlignment="0" applyProtection="0"/>
    <xf numFmtId="0" fontId="105" fillId="42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47" borderId="0" applyNumberFormat="0" applyBorder="0" applyAlignment="0" applyProtection="0"/>
    <xf numFmtId="0" fontId="105" fillId="48" borderId="0" applyNumberFormat="0" applyBorder="0" applyAlignment="0" applyProtection="0"/>
    <xf numFmtId="0" fontId="105" fillId="49" borderId="0" applyNumberFormat="0" applyBorder="0" applyAlignment="0" applyProtection="0"/>
    <xf numFmtId="0" fontId="105" fillId="50" borderId="0" applyNumberFormat="0" applyBorder="0" applyAlignment="0" applyProtection="0"/>
    <xf numFmtId="0" fontId="105" fillId="45" borderId="0" applyNumberFormat="0" applyBorder="0" applyAlignment="0" applyProtection="0"/>
    <xf numFmtId="0" fontId="105" fillId="46" borderId="0" applyNumberFormat="0" applyBorder="0" applyAlignment="0" applyProtection="0"/>
    <xf numFmtId="0" fontId="105" fillId="51" borderId="0" applyNumberFormat="0" applyBorder="0" applyAlignment="0" applyProtection="0"/>
    <xf numFmtId="0" fontId="106" fillId="35" borderId="0" applyNumberFormat="0" applyBorder="0" applyAlignment="0" applyProtection="0"/>
    <xf numFmtId="0" fontId="107" fillId="52" borderId="22" applyNumberFormat="0" applyAlignment="0" applyProtection="0"/>
    <xf numFmtId="0" fontId="108" fillId="53" borderId="23" applyNumberFormat="0" applyAlignment="0" applyProtection="0"/>
    <xf numFmtId="43" fontId="55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110" fillId="36" borderId="0" applyNumberFormat="0" applyBorder="0" applyAlignment="0" applyProtection="0"/>
    <xf numFmtId="0" fontId="111" fillId="0" borderId="24" applyNumberFormat="0" applyFill="0" applyAlignment="0" applyProtection="0"/>
    <xf numFmtId="0" fontId="112" fillId="0" borderId="25" applyNumberFormat="0" applyFill="0" applyAlignment="0" applyProtection="0"/>
    <xf numFmtId="0" fontId="113" fillId="0" borderId="26" applyNumberFormat="0" applyFill="0" applyAlignment="0" applyProtection="0"/>
    <xf numFmtId="0" fontId="113" fillId="0" borderId="0" applyNumberFormat="0" applyFill="0" applyBorder="0" applyAlignment="0" applyProtection="0"/>
    <xf numFmtId="0" fontId="114" fillId="39" borderId="22" applyNumberFormat="0" applyAlignment="0" applyProtection="0"/>
    <xf numFmtId="0" fontId="115" fillId="0" borderId="27" applyNumberFormat="0" applyFill="0" applyAlignment="0" applyProtection="0"/>
    <xf numFmtId="0" fontId="116" fillId="54" borderId="0" applyNumberFormat="0" applyBorder="0" applyAlignment="0" applyProtection="0"/>
    <xf numFmtId="0" fontId="55" fillId="0" borderId="0"/>
    <xf numFmtId="0" fontId="55" fillId="55" borderId="28" applyNumberFormat="0" applyFont="0" applyAlignment="0" applyProtection="0"/>
    <xf numFmtId="0" fontId="55" fillId="55" borderId="28" applyNumberFormat="0" applyFont="0" applyAlignment="0" applyProtection="0"/>
    <xf numFmtId="0" fontId="117" fillId="52" borderId="29" applyNumberFormat="0" applyAlignment="0" applyProtection="0"/>
    <xf numFmtId="9" fontId="55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30" applyNumberFormat="0" applyFill="0" applyAlignment="0" applyProtection="0"/>
    <xf numFmtId="0" fontId="120" fillId="0" borderId="0" applyNumberFormat="0" applyFill="0" applyBorder="0" applyAlignment="0" applyProtection="0"/>
    <xf numFmtId="0" fontId="13" fillId="0" borderId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98" fillId="0" borderId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9" borderId="20" applyNumberFormat="0" applyFont="0" applyAlignment="0" applyProtection="0"/>
    <xf numFmtId="0" fontId="102" fillId="0" borderId="0" applyNumberFormat="0" applyFill="0" applyBorder="0" applyAlignment="0" applyProtection="0"/>
    <xf numFmtId="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9" borderId="20" applyNumberFormat="0" applyFont="0" applyAlignment="0" applyProtection="0"/>
    <xf numFmtId="0" fontId="13" fillId="9" borderId="20" applyNumberFormat="0" applyFont="0" applyAlignment="0" applyProtection="0"/>
    <xf numFmtId="0" fontId="13" fillId="0" borderId="0"/>
    <xf numFmtId="0" fontId="13" fillId="9" borderId="20" applyNumberFormat="0" applyFont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9" borderId="20" applyNumberFormat="0" applyFont="0" applyAlignment="0" applyProtection="0"/>
    <xf numFmtId="0" fontId="114" fillId="39" borderId="39" applyNumberFormat="0" applyAlignment="0" applyProtection="0"/>
    <xf numFmtId="0" fontId="55" fillId="55" borderId="36" applyNumberFormat="0" applyFont="0" applyAlignment="0" applyProtection="0"/>
    <xf numFmtId="0" fontId="117" fillId="52" borderId="37" applyNumberFormat="0" applyAlignment="0" applyProtection="0"/>
    <xf numFmtId="0" fontId="117" fillId="52" borderId="41" applyNumberFormat="0" applyAlignment="0" applyProtection="0"/>
    <xf numFmtId="0" fontId="119" fillId="0" borderId="42" applyNumberFormat="0" applyFill="0" applyAlignment="0" applyProtection="0"/>
    <xf numFmtId="0" fontId="119" fillId="0" borderId="34" applyNumberFormat="0" applyFill="0" applyAlignment="0" applyProtection="0"/>
    <xf numFmtId="0" fontId="55" fillId="55" borderId="40" applyNumberFormat="0" applyFont="0" applyAlignment="0" applyProtection="0"/>
    <xf numFmtId="0" fontId="107" fillId="52" borderId="35" applyNumberFormat="0" applyAlignment="0" applyProtection="0"/>
    <xf numFmtId="0" fontId="55" fillId="55" borderId="32" applyNumberFormat="0" applyFont="0" applyAlignment="0" applyProtection="0"/>
    <xf numFmtId="0" fontId="119" fillId="0" borderId="38" applyNumberFormat="0" applyFill="0" applyAlignment="0" applyProtection="0"/>
    <xf numFmtId="0" fontId="114" fillId="39" borderId="31" applyNumberFormat="0" applyAlignment="0" applyProtection="0"/>
    <xf numFmtId="0" fontId="55" fillId="55" borderId="36" applyNumberFormat="0" applyFont="0" applyAlignment="0" applyProtection="0"/>
    <xf numFmtId="0" fontId="117" fillId="52" borderId="33" applyNumberFormat="0" applyAlignment="0" applyProtection="0"/>
    <xf numFmtId="0" fontId="114" fillId="39" borderId="35" applyNumberFormat="0" applyAlignment="0" applyProtection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20" applyNumberFormat="0" applyFont="0" applyAlignment="0" applyProtection="0"/>
    <xf numFmtId="0" fontId="3" fillId="9" borderId="20" applyNumberFormat="0" applyFont="0" applyAlignment="0" applyProtection="0"/>
    <xf numFmtId="0" fontId="3" fillId="0" borderId="0"/>
    <xf numFmtId="0" fontId="3" fillId="9" borderId="20" applyNumberFormat="0" applyFont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20" applyNumberFormat="0" applyFont="0" applyAlignment="0" applyProtection="0"/>
    <xf numFmtId="0" fontId="107" fillId="52" borderId="43" applyNumberFormat="0" applyAlignment="0" applyProtection="0"/>
    <xf numFmtId="0" fontId="114" fillId="39" borderId="43" applyNumberFormat="0" applyAlignment="0" applyProtection="0"/>
    <xf numFmtId="0" fontId="55" fillId="55" borderId="44" applyNumberFormat="0" applyFont="0" applyAlignment="0" applyProtection="0"/>
    <xf numFmtId="0" fontId="55" fillId="55" borderId="44" applyNumberFormat="0" applyFont="0" applyAlignment="0" applyProtection="0"/>
    <xf numFmtId="0" fontId="117" fillId="52" borderId="45" applyNumberFormat="0" applyAlignment="0" applyProtection="0"/>
    <xf numFmtId="0" fontId="119" fillId="0" borderId="46" applyNumberFormat="0" applyFill="0" applyAlignment="0" applyProtection="0"/>
    <xf numFmtId="0" fontId="2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56" fillId="0" borderId="0" xfId="8"/>
    <xf numFmtId="0" fontId="57" fillId="0" borderId="0" xfId="8" applyFont="1"/>
    <xf numFmtId="0" fontId="62" fillId="0" borderId="0" xfId="8" applyFont="1"/>
    <xf numFmtId="0" fontId="63" fillId="0" borderId="0" xfId="8" applyFont="1"/>
    <xf numFmtId="169" fontId="64" fillId="0" borderId="0" xfId="1" applyNumberFormat="1" applyFont="1" applyFill="1" applyBorder="1" applyAlignment="1">
      <alignment horizontal="center"/>
    </xf>
    <xf numFmtId="169" fontId="64" fillId="0" borderId="0" xfId="1" applyNumberFormat="1" applyFont="1" applyFill="1" applyBorder="1" applyAlignment="1">
      <alignment horizontal="right" indent="1"/>
    </xf>
    <xf numFmtId="0" fontId="70" fillId="0" borderId="0" xfId="7" applyFont="1" applyAlignment="1">
      <alignment horizontal="left"/>
    </xf>
    <xf numFmtId="0" fontId="71" fillId="0" borderId="0" xfId="5" applyFont="1" applyAlignment="1" applyProtection="1"/>
    <xf numFmtId="14" fontId="70" fillId="0" borderId="0" xfId="7" applyNumberFormat="1" applyFont="1" applyAlignment="1">
      <alignment horizontal="left"/>
    </xf>
    <xf numFmtId="0" fontId="71" fillId="0" borderId="0" xfId="4" applyFont="1" applyAlignment="1" applyProtection="1"/>
    <xf numFmtId="0" fontId="64" fillId="0" borderId="0" xfId="7" quotePrefix="1" applyFont="1" applyAlignment="1">
      <alignment horizontal="left"/>
    </xf>
    <xf numFmtId="0" fontId="64" fillId="0" borderId="0" xfId="8" applyFont="1" applyAlignment="1">
      <alignment wrapText="1"/>
    </xf>
    <xf numFmtId="169" fontId="64" fillId="0" borderId="0" xfId="1" applyNumberFormat="1" applyFont="1" applyFill="1" applyBorder="1" applyAlignment="1">
      <alignment horizontal="right"/>
    </xf>
    <xf numFmtId="0" fontId="64" fillId="0" borderId="1" xfId="0" applyFont="1" applyBorder="1"/>
    <xf numFmtId="0" fontId="64" fillId="0" borderId="0" xfId="0" applyFont="1"/>
    <xf numFmtId="0" fontId="64" fillId="0" borderId="2" xfId="0" applyFont="1" applyBorder="1" applyAlignment="1">
      <alignment horizontal="right"/>
    </xf>
    <xf numFmtId="0" fontId="64" fillId="0" borderId="0" xfId="0" applyFont="1" applyAlignment="1">
      <alignment horizontal="center"/>
    </xf>
    <xf numFmtId="0" fontId="0" fillId="0" borderId="2" xfId="0" applyBorder="1"/>
    <xf numFmtId="0" fontId="64" fillId="0" borderId="2" xfId="0" applyFont="1" applyBorder="1" applyAlignment="1">
      <alignment horizontal="left"/>
    </xf>
    <xf numFmtId="0" fontId="64" fillId="0" borderId="0" xfId="0" applyFont="1" applyAlignment="1">
      <alignment horizontal="right"/>
    </xf>
    <xf numFmtId="16" fontId="64" fillId="0" borderId="1" xfId="0" quotePrefix="1" applyNumberFormat="1" applyFont="1" applyBorder="1"/>
    <xf numFmtId="16" fontId="64" fillId="0" borderId="1" xfId="0" applyNumberFormat="1" applyFont="1" applyBorder="1"/>
    <xf numFmtId="0" fontId="64" fillId="0" borderId="1" xfId="0" applyFont="1" applyBorder="1" applyAlignment="1">
      <alignment horizontal="center"/>
    </xf>
    <xf numFmtId="0" fontId="64" fillId="0" borderId="1" xfId="0" applyFont="1" applyBorder="1" applyAlignment="1">
      <alignment horizontal="right"/>
    </xf>
    <xf numFmtId="0" fontId="64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65" fillId="0" borderId="0" xfId="0" quotePrefix="1" applyFont="1" applyAlignment="1">
      <alignment horizontal="right"/>
    </xf>
    <xf numFmtId="164" fontId="64" fillId="0" borderId="0" xfId="1" applyNumberFormat="1" applyFont="1" applyFill="1" applyBorder="1"/>
    <xf numFmtId="164" fontId="64" fillId="0" borderId="0" xfId="1" applyNumberFormat="1" applyFont="1" applyFill="1" applyBorder="1" applyAlignment="1">
      <alignment horizontal="right"/>
    </xf>
    <xf numFmtId="0" fontId="70" fillId="0" borderId="0" xfId="0" applyFont="1"/>
    <xf numFmtId="169" fontId="64" fillId="0" borderId="0" xfId="1" quotePrefix="1" applyNumberFormat="1" applyFont="1" applyFill="1" applyBorder="1" applyAlignment="1">
      <alignment horizontal="right"/>
    </xf>
    <xf numFmtId="164" fontId="64" fillId="0" borderId="0" xfId="1" applyNumberFormat="1" applyFont="1" applyFill="1" applyBorder="1" applyAlignment="1">
      <alignment horizontal="center"/>
    </xf>
    <xf numFmtId="164" fontId="64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64" fillId="0" borderId="0" xfId="1" applyNumberFormat="1" applyFont="1" applyFill="1"/>
    <xf numFmtId="14" fontId="64" fillId="0" borderId="0" xfId="0" applyNumberFormat="1" applyFont="1" applyAlignment="1">
      <alignment horizontal="left"/>
    </xf>
    <xf numFmtId="3" fontId="64" fillId="0" borderId="0" xfId="1" applyNumberFormat="1" applyFont="1" applyFill="1" applyAlignment="1">
      <alignment horizontal="right" indent="1"/>
    </xf>
    <xf numFmtId="3" fontId="64" fillId="0" borderId="0" xfId="1" applyNumberFormat="1" applyFont="1" applyFill="1" applyAlignment="1">
      <alignment horizontal="center"/>
    </xf>
    <xf numFmtId="169" fontId="64" fillId="0" borderId="0" xfId="1" applyNumberFormat="1" applyFont="1" applyFill="1" applyBorder="1" applyAlignment="1">
      <alignment horizontal="right" indent="2"/>
    </xf>
    <xf numFmtId="0" fontId="66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64" fillId="0" borderId="1" xfId="1" applyNumberFormat="1" applyFont="1" applyFill="1" applyBorder="1" applyAlignment="1">
      <alignment horizontal="right"/>
    </xf>
    <xf numFmtId="16" fontId="64" fillId="0" borderId="0" xfId="0" applyNumberFormat="1" applyFont="1"/>
    <xf numFmtId="0" fontId="65" fillId="0" borderId="0" xfId="0" applyFont="1" applyAlignment="1">
      <alignment horizontal="center"/>
    </xf>
    <xf numFmtId="2" fontId="64" fillId="0" borderId="0" xfId="0" applyNumberFormat="1" applyFont="1" applyAlignment="1">
      <alignment horizontal="right" indent="2"/>
    </xf>
    <xf numFmtId="43" fontId="64" fillId="0" borderId="0" xfId="1" quotePrefix="1" applyFont="1" applyFill="1" applyBorder="1" applyAlignment="1">
      <alignment horizontal="center"/>
    </xf>
    <xf numFmtId="166" fontId="64" fillId="0" borderId="0" xfId="1" quotePrefix="1" applyNumberFormat="1" applyFont="1" applyFill="1" applyBorder="1" applyAlignment="1">
      <alignment horizontal="center"/>
    </xf>
    <xf numFmtId="43" fontId="64" fillId="0" borderId="0" xfId="1" applyFont="1" applyFill="1" applyBorder="1" applyAlignment="1">
      <alignment horizontal="center"/>
    </xf>
    <xf numFmtId="0" fontId="70" fillId="0" borderId="0" xfId="0" quotePrefix="1" applyFont="1"/>
    <xf numFmtId="0" fontId="64" fillId="0" borderId="0" xfId="0" applyFont="1" applyAlignment="1">
      <alignment horizontal="left"/>
    </xf>
    <xf numFmtId="0" fontId="64" fillId="0" borderId="0" xfId="0" applyFont="1" applyAlignment="1">
      <alignment horizontal="left" indent="1"/>
    </xf>
    <xf numFmtId="0" fontId="64" fillId="0" borderId="3" xfId="0" applyFont="1" applyBorder="1" applyAlignment="1">
      <alignment horizontal="center"/>
    </xf>
    <xf numFmtId="0" fontId="64" fillId="0" borderId="1" xfId="0" applyFont="1" applyBorder="1" applyAlignment="1">
      <alignment horizontal="left"/>
    </xf>
    <xf numFmtId="0" fontId="65" fillId="0" borderId="3" xfId="0" quotePrefix="1" applyFont="1" applyBorder="1"/>
    <xf numFmtId="0" fontId="65" fillId="0" borderId="3" xfId="0" applyFont="1" applyBorder="1"/>
    <xf numFmtId="2" fontId="64" fillId="0" borderId="0" xfId="0" applyNumberFormat="1" applyFont="1" applyAlignment="1">
      <alignment horizontal="center"/>
    </xf>
    <xf numFmtId="43" fontId="64" fillId="0" borderId="0" xfId="0" applyNumberFormat="1" applyFont="1"/>
    <xf numFmtId="0" fontId="59" fillId="0" borderId="0" xfId="0" applyFont="1"/>
    <xf numFmtId="2" fontId="0" fillId="0" borderId="0" xfId="0" applyNumberFormat="1"/>
    <xf numFmtId="165" fontId="64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68" fillId="0" borderId="0" xfId="0" applyFont="1" applyAlignment="1">
      <alignment vertical="center"/>
    </xf>
    <xf numFmtId="2" fontId="64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64" fillId="0" borderId="3" xfId="0" applyFont="1" applyBorder="1"/>
    <xf numFmtId="165" fontId="64" fillId="0" borderId="0" xfId="1" applyNumberFormat="1" applyFont="1" applyFill="1"/>
    <xf numFmtId="37" fontId="64" fillId="0" borderId="0" xfId="1" applyNumberFormat="1" applyFont="1" applyFill="1" applyBorder="1" applyAlignment="1">
      <alignment horizontal="center"/>
    </xf>
    <xf numFmtId="165" fontId="64" fillId="0" borderId="0" xfId="1" applyNumberFormat="1" applyFont="1" applyFill="1" applyBorder="1"/>
    <xf numFmtId="9" fontId="64" fillId="0" borderId="0" xfId="12" applyFont="1" applyFill="1"/>
    <xf numFmtId="0" fontId="65" fillId="0" borderId="4" xfId="0" applyFont="1" applyBorder="1" applyAlignment="1">
      <alignment horizontal="center"/>
    </xf>
    <xf numFmtId="14" fontId="64" fillId="0" borderId="0" xfId="0" applyNumberFormat="1" applyFont="1" applyAlignment="1">
      <alignment horizontal="right" indent="1"/>
    </xf>
    <xf numFmtId="0" fontId="64" fillId="0" borderId="0" xfId="0" applyFont="1" applyAlignment="1">
      <alignment vertical="center"/>
    </xf>
    <xf numFmtId="0" fontId="64" fillId="0" borderId="0" xfId="0" applyFont="1" applyAlignment="1">
      <alignment vertical="center" wrapText="1"/>
    </xf>
    <xf numFmtId="169" fontId="64" fillId="0" borderId="0" xfId="1" applyNumberFormat="1" applyFont="1" applyFill="1" applyAlignment="1">
      <alignment horizontal="center"/>
    </xf>
    <xf numFmtId="0" fontId="66" fillId="0" borderId="3" xfId="0" applyFont="1" applyBorder="1"/>
    <xf numFmtId="164" fontId="64" fillId="0" borderId="3" xfId="0" applyNumberFormat="1" applyFont="1" applyBorder="1"/>
    <xf numFmtId="171" fontId="0" fillId="0" borderId="0" xfId="1" applyNumberFormat="1" applyFont="1" applyFill="1" applyBorder="1"/>
    <xf numFmtId="0" fontId="55" fillId="0" borderId="0" xfId="8" applyFont="1"/>
    <xf numFmtId="0" fontId="55" fillId="0" borderId="0" xfId="0" applyFont="1"/>
    <xf numFmtId="4" fontId="73" fillId="0" borderId="0" xfId="0" applyNumberFormat="1" applyFont="1"/>
    <xf numFmtId="172" fontId="59" fillId="0" borderId="0" xfId="12" applyNumberFormat="1" applyFont="1" applyFill="1"/>
    <xf numFmtId="4" fontId="0" fillId="0" borderId="0" xfId="0" applyNumberFormat="1"/>
    <xf numFmtId="173" fontId="73" fillId="0" borderId="0" xfId="0" applyNumberFormat="1" applyFont="1"/>
    <xf numFmtId="2" fontId="72" fillId="0" borderId="0" xfId="0" applyNumberFormat="1" applyFont="1" applyAlignment="1">
      <alignment horizontal="center"/>
    </xf>
    <xf numFmtId="37" fontId="64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72" fillId="0" borderId="0" xfId="0" applyNumberFormat="1" applyFont="1" applyAlignment="1">
      <alignment horizontal="right" indent="2"/>
    </xf>
    <xf numFmtId="9" fontId="0" fillId="0" borderId="0" xfId="12" applyFont="1"/>
    <xf numFmtId="3" fontId="72" fillId="0" borderId="0" xfId="1" applyNumberFormat="1" applyFont="1" applyFill="1" applyBorder="1" applyAlignment="1">
      <alignment horizontal="right"/>
    </xf>
    <xf numFmtId="3" fontId="55" fillId="0" borderId="0" xfId="0" applyNumberFormat="1" applyFont="1"/>
    <xf numFmtId="174" fontId="0" fillId="0" borderId="0" xfId="0" applyNumberFormat="1"/>
    <xf numFmtId="175" fontId="0" fillId="0" borderId="0" xfId="0" applyNumberFormat="1"/>
    <xf numFmtId="176" fontId="0" fillId="0" borderId="0" xfId="0" applyNumberFormat="1"/>
    <xf numFmtId="169" fontId="64" fillId="0" borderId="0" xfId="1" applyNumberFormat="1" applyFont="1" applyAlignment="1">
      <alignment horizontal="right" indent="1"/>
    </xf>
    <xf numFmtId="167" fontId="64" fillId="0" borderId="0" xfId="0" applyNumberFormat="1" applyFont="1"/>
    <xf numFmtId="169" fontId="72" fillId="0" borderId="0" xfId="1" applyNumberFormat="1" applyFont="1" applyFill="1" applyBorder="1" applyAlignment="1">
      <alignment horizontal="right" indent="1"/>
    </xf>
    <xf numFmtId="0" fontId="74" fillId="0" borderId="0" xfId="0" applyFont="1"/>
    <xf numFmtId="169" fontId="64" fillId="0" borderId="0" xfId="1" applyNumberFormat="1" applyFont="1" applyFill="1" applyAlignment="1">
      <alignment horizontal="right" indent="1"/>
    </xf>
    <xf numFmtId="164" fontId="72" fillId="0" borderId="0" xfId="1" applyNumberFormat="1" applyFont="1"/>
    <xf numFmtId="169" fontId="64" fillId="2" borderId="0" xfId="1" applyNumberFormat="1" applyFont="1" applyFill="1" applyBorder="1" applyAlignment="1">
      <alignment horizontal="right" indent="2"/>
    </xf>
    <xf numFmtId="169" fontId="64" fillId="2" borderId="0" xfId="1" applyNumberFormat="1" applyFont="1" applyFill="1" applyBorder="1" applyAlignment="1">
      <alignment horizontal="right" indent="1"/>
    </xf>
    <xf numFmtId="169" fontId="75" fillId="0" borderId="0" xfId="1" applyNumberFormat="1" applyFont="1" applyFill="1" applyBorder="1" applyAlignment="1">
      <alignment horizontal="right"/>
    </xf>
    <xf numFmtId="169" fontId="72" fillId="0" borderId="0" xfId="1" applyNumberFormat="1" applyFont="1" applyFill="1" applyBorder="1" applyAlignment="1">
      <alignment horizontal="right"/>
    </xf>
    <xf numFmtId="37" fontId="0" fillId="0" borderId="0" xfId="0" applyNumberFormat="1"/>
    <xf numFmtId="43" fontId="64" fillId="0" borderId="3" xfId="0" applyNumberFormat="1" applyFont="1" applyBorder="1"/>
    <xf numFmtId="0" fontId="0" fillId="0" borderId="3" xfId="0" applyBorder="1"/>
    <xf numFmtId="168" fontId="64" fillId="0" borderId="3" xfId="0" applyNumberFormat="1" applyFont="1" applyBorder="1"/>
    <xf numFmtId="0" fontId="65" fillId="0" borderId="3" xfId="0" quotePrefix="1" applyFont="1" applyBorder="1" applyAlignment="1">
      <alignment horizontal="center"/>
    </xf>
    <xf numFmtId="177" fontId="0" fillId="0" borderId="0" xfId="0" applyNumberFormat="1"/>
    <xf numFmtId="178" fontId="0" fillId="0" borderId="0" xfId="0" applyNumberFormat="1"/>
    <xf numFmtId="167" fontId="64" fillId="0" borderId="0" xfId="0" applyNumberFormat="1" applyFont="1" applyAlignment="1">
      <alignment horizontal="center"/>
    </xf>
    <xf numFmtId="165" fontId="64" fillId="0" borderId="0" xfId="1" applyNumberFormat="1" applyFont="1" applyFill="1" applyAlignment="1">
      <alignment horizontal="left"/>
    </xf>
    <xf numFmtId="165" fontId="64" fillId="0" borderId="0" xfId="1" applyNumberFormat="1" applyFont="1" applyFill="1" applyAlignment="1">
      <alignment horizontal="center"/>
    </xf>
    <xf numFmtId="3" fontId="64" fillId="0" borderId="0" xfId="1" applyNumberFormat="1" applyFont="1" applyFill="1" applyBorder="1" applyAlignment="1">
      <alignment horizontal="right" indent="1"/>
    </xf>
    <xf numFmtId="3" fontId="73" fillId="0" borderId="0" xfId="0" applyNumberFormat="1" applyFont="1"/>
    <xf numFmtId="173" fontId="0" fillId="0" borderId="0" xfId="0" applyNumberFormat="1"/>
    <xf numFmtId="3" fontId="72" fillId="0" borderId="0" xfId="1" applyNumberFormat="1" applyFont="1" applyFill="1" applyAlignment="1">
      <alignment horizontal="right" indent="1"/>
    </xf>
    <xf numFmtId="37" fontId="64" fillId="0" borderId="0" xfId="1" applyNumberFormat="1" applyFont="1" applyFill="1" applyBorder="1" applyAlignment="1">
      <alignment horizontal="right" indent="2"/>
    </xf>
    <xf numFmtId="37" fontId="64" fillId="0" borderId="0" xfId="1" applyNumberFormat="1" applyFont="1" applyFill="1" applyBorder="1" applyAlignment="1">
      <alignment horizontal="right" indent="1"/>
    </xf>
    <xf numFmtId="37" fontId="64" fillId="0" borderId="0" xfId="1" applyNumberFormat="1" applyFont="1" applyFill="1" applyAlignment="1">
      <alignment horizontal="center"/>
    </xf>
    <xf numFmtId="37" fontId="64" fillId="0" borderId="0" xfId="0" applyNumberFormat="1" applyFont="1"/>
    <xf numFmtId="1" fontId="64" fillId="0" borderId="0" xfId="0" applyNumberFormat="1" applyFont="1" applyAlignment="1">
      <alignment horizontal="center"/>
    </xf>
    <xf numFmtId="170" fontId="64" fillId="0" borderId="0" xfId="0" applyNumberFormat="1" applyFont="1"/>
    <xf numFmtId="165" fontId="0" fillId="0" borderId="0" xfId="1" applyNumberFormat="1" applyFont="1" applyAlignment="1">
      <alignment horizontal="left" indent="1"/>
    </xf>
    <xf numFmtId="2" fontId="64" fillId="2" borderId="0" xfId="0" applyNumberFormat="1" applyFont="1" applyFill="1" applyAlignment="1">
      <alignment horizontal="right" indent="2"/>
    </xf>
    <xf numFmtId="0" fontId="64" fillId="2" borderId="0" xfId="0" applyFont="1" applyFill="1"/>
    <xf numFmtId="164" fontId="72" fillId="0" borderId="0" xfId="1" applyNumberFormat="1" applyFont="1" applyFill="1"/>
    <xf numFmtId="167" fontId="121" fillId="0" borderId="0" xfId="0" applyNumberFormat="1" applyFont="1"/>
    <xf numFmtId="169" fontId="72" fillId="0" borderId="0" xfId="1" applyNumberFormat="1" applyFont="1" applyFill="1" applyAlignment="1">
      <alignment horizontal="right" indent="1"/>
    </xf>
    <xf numFmtId="0" fontId="64" fillId="0" borderId="2" xfId="0" applyFont="1" applyBorder="1" applyAlignment="1">
      <alignment horizontal="center"/>
    </xf>
    <xf numFmtId="0" fontId="65" fillId="0" borderId="3" xfId="0" applyFont="1" applyBorder="1" applyAlignment="1">
      <alignment horizontal="center"/>
    </xf>
    <xf numFmtId="2" fontId="74" fillId="0" borderId="0" xfId="0" applyNumberFormat="1" applyFont="1"/>
    <xf numFmtId="3" fontId="0" fillId="0" borderId="0" xfId="0" applyNumberFormat="1"/>
    <xf numFmtId="0" fontId="0" fillId="2" borderId="0" xfId="0" applyFill="1"/>
    <xf numFmtId="0" fontId="55" fillId="2" borderId="0" xfId="0" applyFont="1" applyFill="1"/>
    <xf numFmtId="164" fontId="64" fillId="2" borderId="0" xfId="1" applyNumberFormat="1" applyFont="1" applyFill="1" applyBorder="1" applyAlignment="1">
      <alignment horizontal="center"/>
    </xf>
    <xf numFmtId="169" fontId="64" fillId="2" borderId="0" xfId="1" applyNumberFormat="1" applyFont="1" applyFill="1" applyBorder="1" applyAlignment="1">
      <alignment horizontal="right"/>
    </xf>
    <xf numFmtId="169" fontId="64" fillId="2" borderId="0" xfId="1" quotePrefix="1" applyNumberFormat="1" applyFont="1" applyFill="1" applyBorder="1" applyAlignment="1">
      <alignment horizontal="right"/>
    </xf>
    <xf numFmtId="174" fontId="0" fillId="2" borderId="0" xfId="0" applyNumberFormat="1" applyFill="1"/>
    <xf numFmtId="164" fontId="72" fillId="0" borderId="0" xfId="1" applyNumberFormat="1" applyFont="1" applyFill="1" applyAlignment="1">
      <alignment horizontal="right"/>
    </xf>
    <xf numFmtId="3" fontId="64" fillId="0" borderId="0" xfId="1" applyNumberFormat="1" applyFont="1" applyFill="1" applyAlignment="1">
      <alignment horizontal="right"/>
    </xf>
    <xf numFmtId="3" fontId="64" fillId="0" borderId="0" xfId="1" applyNumberFormat="1" applyFont="1" applyFill="1" applyAlignment="1">
      <alignment horizontal="right" indent="2"/>
    </xf>
    <xf numFmtId="2" fontId="122" fillId="0" borderId="0" xfId="12" applyNumberFormat="1" applyFont="1" applyFill="1" applyBorder="1" applyAlignment="1">
      <alignment horizontal="center"/>
    </xf>
    <xf numFmtId="0" fontId="122" fillId="0" borderId="0" xfId="0" applyFont="1"/>
    <xf numFmtId="165" fontId="0" fillId="0" borderId="0" xfId="1" applyNumberFormat="1" applyFont="1"/>
    <xf numFmtId="10" fontId="0" fillId="0" borderId="0" xfId="12" applyNumberFormat="1" applyFont="1"/>
    <xf numFmtId="179" fontId="123" fillId="0" borderId="0" xfId="0" applyNumberFormat="1" applyFont="1"/>
    <xf numFmtId="179" fontId="123" fillId="0" borderId="0" xfId="0" applyNumberFormat="1" applyFont="1" applyAlignment="1">
      <alignment horizontal="right" indent="1"/>
    </xf>
    <xf numFmtId="179" fontId="0" fillId="0" borderId="0" xfId="0" applyNumberFormat="1"/>
    <xf numFmtId="0" fontId="62" fillId="0" borderId="0" xfId="20" applyFont="1"/>
    <xf numFmtId="0" fontId="62" fillId="0" borderId="0" xfId="20" applyFont="1" applyAlignment="1">
      <alignment wrapText="1"/>
    </xf>
    <xf numFmtId="0" fontId="55" fillId="0" borderId="0" xfId="20"/>
    <xf numFmtId="0" fontId="55" fillId="0" borderId="0" xfId="20" quotePrefix="1"/>
    <xf numFmtId="3" fontId="55" fillId="0" borderId="0" xfId="20" applyNumberFormat="1"/>
    <xf numFmtId="16" fontId="55" fillId="0" borderId="0" xfId="20" quotePrefix="1" applyNumberFormat="1"/>
    <xf numFmtId="165" fontId="55" fillId="0" borderId="0" xfId="20" applyNumberFormat="1"/>
    <xf numFmtId="165" fontId="0" fillId="0" borderId="0" xfId="1" applyNumberFormat="1" applyFont="1" applyFill="1" applyAlignment="1">
      <alignment horizontal="left" indent="1"/>
    </xf>
    <xf numFmtId="180" fontId="0" fillId="0" borderId="0" xfId="0" applyNumberFormat="1"/>
    <xf numFmtId="165" fontId="0" fillId="0" borderId="0" xfId="0" applyNumberFormat="1"/>
    <xf numFmtId="165" fontId="72" fillId="0" borderId="0" xfId="1" applyNumberFormat="1" applyFont="1" applyFill="1" applyAlignment="1">
      <alignment horizontal="center"/>
    </xf>
    <xf numFmtId="178" fontId="72" fillId="0" borderId="0" xfId="1" applyNumberFormat="1" applyFont="1" applyFill="1" applyAlignment="1">
      <alignment horizontal="right" indent="1"/>
    </xf>
    <xf numFmtId="173" fontId="70" fillId="0" borderId="0" xfId="1" applyNumberFormat="1" applyFont="1" applyFill="1" applyBorder="1" applyAlignment="1">
      <alignment horizontal="right" indent="1"/>
    </xf>
    <xf numFmtId="37" fontId="64" fillId="0" borderId="1" xfId="1" applyNumberFormat="1" applyFont="1" applyFill="1" applyBorder="1" applyAlignment="1">
      <alignment horizontal="center"/>
    </xf>
    <xf numFmtId="37" fontId="64" fillId="0" borderId="1" xfId="1" applyNumberFormat="1" applyFont="1" applyFill="1" applyBorder="1" applyAlignment="1">
      <alignment horizontal="right" indent="2"/>
    </xf>
    <xf numFmtId="165" fontId="64" fillId="0" borderId="1" xfId="1" applyNumberFormat="1" applyFont="1" applyFill="1" applyBorder="1"/>
    <xf numFmtId="37" fontId="64" fillId="0" borderId="1" xfId="1" applyNumberFormat="1" applyFont="1" applyFill="1" applyBorder="1" applyAlignment="1">
      <alignment horizontal="right" indent="1"/>
    </xf>
    <xf numFmtId="1" fontId="64" fillId="0" borderId="1" xfId="0" applyNumberFormat="1" applyFont="1" applyBorder="1" applyAlignment="1">
      <alignment horizontal="center"/>
    </xf>
    <xf numFmtId="43" fontId="0" fillId="0" borderId="0" xfId="1" applyFont="1"/>
    <xf numFmtId="0" fontId="64" fillId="0" borderId="2" xfId="0" applyFont="1" applyBorder="1" applyAlignment="1">
      <alignment horizontal="center"/>
    </xf>
    <xf numFmtId="0" fontId="65" fillId="0" borderId="3" xfId="0" applyFont="1" applyBorder="1" applyAlignment="1">
      <alignment horizontal="center"/>
    </xf>
    <xf numFmtId="0" fontId="65" fillId="0" borderId="2" xfId="0" quotePrefix="1" applyFont="1" applyBorder="1" applyAlignment="1">
      <alignment horizontal="center"/>
    </xf>
    <xf numFmtId="0" fontId="65" fillId="0" borderId="2" xfId="0" applyFont="1" applyBorder="1" applyAlignment="1">
      <alignment horizontal="center"/>
    </xf>
    <xf numFmtId="0" fontId="65" fillId="0" borderId="5" xfId="0" quotePrefix="1" applyFont="1" applyBorder="1" applyAlignment="1">
      <alignment horizontal="center"/>
    </xf>
    <xf numFmtId="0" fontId="65" fillId="0" borderId="6" xfId="0" applyFont="1" applyBorder="1" applyAlignment="1">
      <alignment horizontal="center"/>
    </xf>
    <xf numFmtId="0" fontId="65" fillId="0" borderId="5" xfId="0" applyFont="1" applyBorder="1" applyAlignment="1">
      <alignment horizontal="center"/>
    </xf>
  </cellXfs>
  <cellStyles count="541">
    <cellStyle name="20% - Accent1" xfId="114" builtinId="30" customBuiltin="1"/>
    <cellStyle name="20% - Accent1 2" xfId="147" xr:uid="{94824244-2101-4E75-A751-7E1198CB157D}"/>
    <cellStyle name="20% - Accent1 2 2" xfId="175" xr:uid="{808E7508-1BBA-4B9C-A53F-432B8933B411}"/>
    <cellStyle name="20% - Accent1 2 2 2" xfId="322" xr:uid="{CBBD6C44-D91F-4F39-AF67-A26598412FDF}"/>
    <cellStyle name="20% - Accent1 2 2 2 2" xfId="490" xr:uid="{05B06E6A-24DF-4E88-8359-FB1A2B20C218}"/>
    <cellStyle name="20% - Accent1 2 2 3" xfId="427" xr:uid="{98B64A09-388E-498E-8547-ED6E911E9008}"/>
    <cellStyle name="20% - Accent1 2 3" xfId="243" xr:uid="{DFAACE0A-DDD2-4424-B740-BFF9BF44F6DE}"/>
    <cellStyle name="20% - Accent1 2 3 2" xfId="356" xr:uid="{89AF0E59-C980-4D73-AD5F-E64685BF5A39}"/>
    <cellStyle name="20% - Accent1 2 3 2 2" xfId="524" xr:uid="{B817B76A-E28D-417D-B5E9-3235B4EEBF45}"/>
    <cellStyle name="20% - Accent1 2 3 3" xfId="461" xr:uid="{36FDAAF6-488B-4CFF-9EF7-D4D588B79B49}"/>
    <cellStyle name="20% - Accent1 2 4" xfId="311" xr:uid="{83F36799-25DE-43C1-8B40-C38E43B06862}"/>
    <cellStyle name="20% - Accent1 2 4 2" xfId="482" xr:uid="{F7F20C40-F23D-4222-96D9-093D64E9179D}"/>
    <cellStyle name="20% - Accent1 2 5" xfId="420" xr:uid="{086CCB9A-F10F-4BD0-AECC-CECF83F47246}"/>
    <cellStyle name="20% - Accent1 3" xfId="176" xr:uid="{32B0355E-6EDE-4BFF-8288-D97DAF58BA3D}"/>
    <cellStyle name="20% - Accent1 3 2" xfId="323" xr:uid="{8B8A3324-DDA2-4DDC-A40B-277C58DF2E59}"/>
    <cellStyle name="20% - Accent1 3 2 2" xfId="491" xr:uid="{889EB50F-F9C4-42E0-BB6A-E236776D753A}"/>
    <cellStyle name="20% - Accent1 3 3" xfId="428" xr:uid="{36BE12E4-AA0F-4205-82D6-9FB17C14369E}"/>
    <cellStyle name="20% - Accent1 4" xfId="252" xr:uid="{7CEC33F6-0A54-4986-816D-B5CD86F3443E}"/>
    <cellStyle name="20% - Accent1 5" xfId="298" xr:uid="{81C6ED3D-ADA8-4DD1-AB90-65CBC92DDD4E}"/>
    <cellStyle name="20% - Accent1 5 2" xfId="470" xr:uid="{4F3D7150-E006-460C-9645-62992F51D10D}"/>
    <cellStyle name="20% - Accent1 6" xfId="401" xr:uid="{9AE55E89-F9DF-4833-9F62-326D28BA61AC}"/>
    <cellStyle name="20% - Accent2" xfId="118" builtinId="34" customBuiltin="1"/>
    <cellStyle name="20% - Accent2 2" xfId="149" xr:uid="{3A6892BC-603E-44F6-A4CD-BDB954335613}"/>
    <cellStyle name="20% - Accent2 2 2" xfId="177" xr:uid="{A4E0B261-34A6-43CE-86A6-B3FE20F6C2EE}"/>
    <cellStyle name="20% - Accent2 2 2 2" xfId="324" xr:uid="{F6DF797F-3B58-4E26-A117-90F2DC8C6BE8}"/>
    <cellStyle name="20% - Accent2 2 2 2 2" xfId="492" xr:uid="{FD8075D9-B0CB-45B8-90F1-6558E750DC91}"/>
    <cellStyle name="20% - Accent2 2 2 3" xfId="429" xr:uid="{566529F4-1A18-4101-B0F0-37DDEB028598}"/>
    <cellStyle name="20% - Accent2 2 3" xfId="244" xr:uid="{50C5342E-7F4E-4DA0-8BB2-B9DC64C75676}"/>
    <cellStyle name="20% - Accent2 2 3 2" xfId="357" xr:uid="{A9E457CE-E606-46C1-BAD6-9F04036F9737}"/>
    <cellStyle name="20% - Accent2 2 3 2 2" xfId="525" xr:uid="{37A61EF5-9CF6-4CF5-A478-9053958EF6DD}"/>
    <cellStyle name="20% - Accent2 2 3 3" xfId="462" xr:uid="{9C712771-9205-463F-8A2A-699C5A2B56F6}"/>
    <cellStyle name="20% - Accent2 2 4" xfId="312" xr:uid="{A2CC103D-9803-49B7-AFE1-C11F6B1DCEA6}"/>
    <cellStyle name="20% - Accent2 2 4 2" xfId="483" xr:uid="{AF9F4BBE-D758-41BA-9BB3-BD9F7D4CB478}"/>
    <cellStyle name="20% - Accent2 2 5" xfId="422" xr:uid="{848DBB74-DB0A-4D71-9107-A5404B5A64B1}"/>
    <cellStyle name="20% - Accent2 3" xfId="178" xr:uid="{6C171EA5-10E1-4380-B85D-BD9AB947C93B}"/>
    <cellStyle name="20% - Accent2 3 2" xfId="325" xr:uid="{8D668A50-5F39-4645-A90D-54BF2D4958AE}"/>
    <cellStyle name="20% - Accent2 3 2 2" xfId="493" xr:uid="{F89209B8-F09F-4A5F-8810-130D5C2CC010}"/>
    <cellStyle name="20% - Accent2 3 3" xfId="430" xr:uid="{0D7049A8-EE28-4F58-84DB-63A1443CAB48}"/>
    <cellStyle name="20% - Accent2 4" xfId="253" xr:uid="{237A4AE0-05DB-4BBC-9FC6-21F8CB9985F9}"/>
    <cellStyle name="20% - Accent2 5" xfId="300" xr:uid="{C5ABCD5F-0592-416F-9073-4C31AB0B7D76}"/>
    <cellStyle name="20% - Accent2 5 2" xfId="472" xr:uid="{5AF29854-C227-4929-99B2-BE93300556DC}"/>
    <cellStyle name="20% - Accent2 6" xfId="404" xr:uid="{3D0D8644-B29F-4FCE-929C-B25E3956A311}"/>
    <cellStyle name="20% - Accent3" xfId="122" builtinId="38" customBuiltin="1"/>
    <cellStyle name="20% - Accent3 2" xfId="148" xr:uid="{26D9BC36-F860-4DB0-92BA-5CCE7700904E}"/>
    <cellStyle name="20% - Accent3 2 2" xfId="179" xr:uid="{C6940E12-74F9-4A68-A3FA-9C0A9AF8C855}"/>
    <cellStyle name="20% - Accent3 2 2 2" xfId="326" xr:uid="{00219586-1666-4D5E-9C8F-7927F6CFFF8D}"/>
    <cellStyle name="20% - Accent3 2 2 2 2" xfId="494" xr:uid="{974536C2-58F3-406D-8748-6FDC6543620C}"/>
    <cellStyle name="20% - Accent3 2 2 3" xfId="431" xr:uid="{255DC329-D995-4A83-8073-1CF63816F071}"/>
    <cellStyle name="20% - Accent3 2 3" xfId="245" xr:uid="{2125FD0B-95F0-4249-A4C0-85785EC5E189}"/>
    <cellStyle name="20% - Accent3 2 3 2" xfId="358" xr:uid="{A7994EDF-6D4F-4DD2-AA80-E7ECD9EC5D2A}"/>
    <cellStyle name="20% - Accent3 2 3 2 2" xfId="526" xr:uid="{0F7AD21D-71FA-4094-835A-B89F5E41ACA8}"/>
    <cellStyle name="20% - Accent3 2 3 3" xfId="463" xr:uid="{7F2ACC1A-47E5-4F38-BD04-F43018463B0E}"/>
    <cellStyle name="20% - Accent3 2 4" xfId="313" xr:uid="{A392E008-3993-4913-9A74-2289F3F558F7}"/>
    <cellStyle name="20% - Accent3 2 4 2" xfId="484" xr:uid="{0F207972-337D-49E2-B0F0-7D42B6694A27}"/>
    <cellStyle name="20% - Accent3 2 5" xfId="421" xr:uid="{5D3063C4-DBB5-4EC4-882C-73CF8DBE8321}"/>
    <cellStyle name="20% - Accent3 3" xfId="180" xr:uid="{AE82C847-78D6-4B97-8441-AA51646614B2}"/>
    <cellStyle name="20% - Accent3 3 2" xfId="327" xr:uid="{E4842C73-CF9A-46A7-A8D4-C720BAFECC2A}"/>
    <cellStyle name="20% - Accent3 3 2 2" xfId="495" xr:uid="{410357B9-A7B2-4AA2-8A86-4A1D809C069C}"/>
    <cellStyle name="20% - Accent3 3 3" xfId="432" xr:uid="{841DAC20-742F-4203-A047-B4AF5C721A19}"/>
    <cellStyle name="20% - Accent3 4" xfId="254" xr:uid="{40569062-D533-4274-94AE-C7B495BBBAF4}"/>
    <cellStyle name="20% - Accent3 5" xfId="302" xr:uid="{75FC9417-6D6F-4BEC-BBB5-1652C952A4F2}"/>
    <cellStyle name="20% - Accent3 5 2" xfId="474" xr:uid="{534E3502-C93C-417F-940C-C2C89106AE30}"/>
    <cellStyle name="20% - Accent3 6" xfId="407" xr:uid="{20C864A9-6ED5-41D6-AFE6-DD1317EFD3AD}"/>
    <cellStyle name="20% - Accent4" xfId="126" builtinId="42" customBuiltin="1"/>
    <cellStyle name="20% - Accent4 2" xfId="146" xr:uid="{EFF20614-19C6-4818-8163-E651A637CA6E}"/>
    <cellStyle name="20% - Accent4 2 2" xfId="181" xr:uid="{C477F807-EE2A-4236-A0C5-E1401A15E84A}"/>
    <cellStyle name="20% - Accent4 2 2 2" xfId="328" xr:uid="{1D429CA1-7B52-4EEB-B7A7-4DE1398B029E}"/>
    <cellStyle name="20% - Accent4 2 2 2 2" xfId="496" xr:uid="{A2E3C7DB-32C1-4F50-9404-3F2890C20254}"/>
    <cellStyle name="20% - Accent4 2 2 3" xfId="433" xr:uid="{663B3809-24D4-4727-B390-B3B671049AAA}"/>
    <cellStyle name="20% - Accent4 2 3" xfId="246" xr:uid="{838D636A-4D49-422F-90B8-C14A3182ECA3}"/>
    <cellStyle name="20% - Accent4 2 3 2" xfId="359" xr:uid="{2D26635D-7002-48A3-80B5-01782ECEA560}"/>
    <cellStyle name="20% - Accent4 2 3 2 2" xfId="527" xr:uid="{675D849B-113D-498E-8A44-84CE6FC31084}"/>
    <cellStyle name="20% - Accent4 2 3 3" xfId="464" xr:uid="{82DCE161-AF0A-4B71-AF06-7F6149BB8AFE}"/>
    <cellStyle name="20% - Accent4 2 4" xfId="314" xr:uid="{413645D3-3617-43F7-8ECE-552A73C745C5}"/>
    <cellStyle name="20% - Accent4 2 4 2" xfId="485" xr:uid="{19EC5665-1856-492B-938C-93B4E17C042C}"/>
    <cellStyle name="20% - Accent4 2 5" xfId="419" xr:uid="{298E3CDE-5ABB-46E6-867C-321CF30960B7}"/>
    <cellStyle name="20% - Accent4 3" xfId="182" xr:uid="{77FDE77B-07DD-4466-9C33-45F5E347F898}"/>
    <cellStyle name="20% - Accent4 3 2" xfId="329" xr:uid="{930BA819-24FD-4A10-BCCB-54EEAB1CF8E2}"/>
    <cellStyle name="20% - Accent4 3 2 2" xfId="497" xr:uid="{EECCE36F-6F8F-49E0-B34E-A2E5C651A49C}"/>
    <cellStyle name="20% - Accent4 3 3" xfId="434" xr:uid="{DD8EE5B2-022E-4B7C-B135-2C09592351A9}"/>
    <cellStyle name="20% - Accent4 4" xfId="255" xr:uid="{334DB917-1D99-4C5B-BA46-F86B4E671325}"/>
    <cellStyle name="20% - Accent4 5" xfId="304" xr:uid="{2A33F46A-D1F4-4B8C-A158-560DBF1B8215}"/>
    <cellStyle name="20% - Accent4 5 2" xfId="476" xr:uid="{ED228748-6482-488F-A1CD-7ADE1584E823}"/>
    <cellStyle name="20% - Accent4 6" xfId="410" xr:uid="{10EED916-9101-4C03-8B9C-7DD699553004}"/>
    <cellStyle name="20% - Accent5" xfId="130" builtinId="46" customBuiltin="1"/>
    <cellStyle name="20% - Accent5 2" xfId="183" xr:uid="{657F8E32-39A3-4638-8EC1-DDD924C4D6B4}"/>
    <cellStyle name="20% - Accent5 2 2" xfId="330" xr:uid="{3FA1D9DA-02FB-410D-8295-71E299A736BC}"/>
    <cellStyle name="20% - Accent5 2 2 2" xfId="498" xr:uid="{1D86306B-9BD1-4AD3-A91D-DBCA215FE57E}"/>
    <cellStyle name="20% - Accent5 2 3" xfId="435" xr:uid="{26D81158-61C6-4E17-ABE6-C7E7EE14685D}"/>
    <cellStyle name="20% - Accent5 3" xfId="236" xr:uid="{40BC7363-BC63-477D-A10D-0F2E3F55AA99}"/>
    <cellStyle name="20% - Accent5 3 2" xfId="350" xr:uid="{8732B83C-2480-4354-8CF6-248EE2B9ADCC}"/>
    <cellStyle name="20% - Accent5 3 2 2" xfId="518" xr:uid="{BF1FB6F2-B7AD-4A61-AEBD-F79CDFCADB37}"/>
    <cellStyle name="20% - Accent5 3 3" xfId="455" xr:uid="{D51CB28A-3E2F-4687-AA42-F3F9E73DDA60}"/>
    <cellStyle name="20% - Accent5 4" xfId="256" xr:uid="{51945EF0-DD1C-4DB0-B69C-82333019E54F}"/>
    <cellStyle name="20% - Accent5 5" xfId="306" xr:uid="{546C1E55-CAAA-4E78-BCC7-72F62F6CC03E}"/>
    <cellStyle name="20% - Accent5 5 2" xfId="478" xr:uid="{712CC58B-8028-43EC-A508-FF491449446A}"/>
    <cellStyle name="20% - Accent5 6" xfId="413" xr:uid="{6D79C247-9518-45AF-B8B5-3D8A5CC7A6EA}"/>
    <cellStyle name="20% - Accent6" xfId="134" builtinId="50" customBuiltin="1"/>
    <cellStyle name="20% - Accent6 2" xfId="184" xr:uid="{278BDC6A-6C88-4EB1-B39B-C6F05663AE81}"/>
    <cellStyle name="20% - Accent6 2 2" xfId="331" xr:uid="{A9B5AC6F-DB0E-48AF-9F7B-76BCEE23EE81}"/>
    <cellStyle name="20% - Accent6 2 2 2" xfId="499" xr:uid="{B507CBB1-E801-488B-BE6B-3C5CCD6AAAB1}"/>
    <cellStyle name="20% - Accent6 2 3" xfId="436" xr:uid="{8E75EACB-7CF0-4A6C-B29E-2412055A7AA1}"/>
    <cellStyle name="20% - Accent6 3" xfId="238" xr:uid="{7DBFE8B8-91F0-4793-ABE2-D608172D3176}"/>
    <cellStyle name="20% - Accent6 3 2" xfId="352" xr:uid="{A0B804D4-E275-4465-9F36-8E5FDA8D4B68}"/>
    <cellStyle name="20% - Accent6 3 2 2" xfId="520" xr:uid="{27938787-218C-40F0-BFD3-F2CBF3B4AED7}"/>
    <cellStyle name="20% - Accent6 3 3" xfId="457" xr:uid="{DF3B5D8D-1452-44A7-9BAD-C21E4DA6BC0E}"/>
    <cellStyle name="20% - Accent6 4" xfId="257" xr:uid="{B7EE85F8-3FF2-474C-BBAE-44ACD6D57C35}"/>
    <cellStyle name="20% - Accent6 5" xfId="308" xr:uid="{68BBBA63-83F4-44A7-B274-B556A530E939}"/>
    <cellStyle name="20% - Accent6 5 2" xfId="480" xr:uid="{556F5A4F-9322-4F2F-A94B-FFF7A6F4194C}"/>
    <cellStyle name="20% - Accent6 6" xfId="416" xr:uid="{CD78C615-BA09-4262-B0D1-6513B382AEBF}"/>
    <cellStyle name="40% - Accent1" xfId="115" builtinId="31" customBuiltin="1"/>
    <cellStyle name="40% - Accent1 2" xfId="185" xr:uid="{D0E7E168-7A74-4F97-8D96-02A961818767}"/>
    <cellStyle name="40% - Accent1 2 2" xfId="332" xr:uid="{71A8CAB3-FD14-404B-89D2-ECAE436DDA9C}"/>
    <cellStyle name="40% - Accent1 2 2 2" xfId="500" xr:uid="{A2668E37-3A59-4154-8598-FDE09FF46FA7}"/>
    <cellStyle name="40% - Accent1 2 3" xfId="437" xr:uid="{ACA7AA49-3B24-4A63-92BF-BEADF786DA90}"/>
    <cellStyle name="40% - Accent1 3" xfId="233" xr:uid="{8C33CEFE-CC5C-41A1-839B-2AAF91F0C1D8}"/>
    <cellStyle name="40% - Accent1 3 2" xfId="347" xr:uid="{5ED618F1-0BEC-46B3-A47C-4FA55A325B90}"/>
    <cellStyle name="40% - Accent1 3 2 2" xfId="515" xr:uid="{EA31D1C6-B7E1-4546-9187-37ACB8966965}"/>
    <cellStyle name="40% - Accent1 3 3" xfId="452" xr:uid="{C02B00A7-69E6-471A-948C-9631F7A9BABE}"/>
    <cellStyle name="40% - Accent1 4" xfId="258" xr:uid="{8B777513-D1B3-4C8B-8CE8-8107E98F2BC1}"/>
    <cellStyle name="40% - Accent1 5" xfId="299" xr:uid="{7827FBB3-A345-4F9A-88F9-27F0AB5A21E0}"/>
    <cellStyle name="40% - Accent1 5 2" xfId="471" xr:uid="{FA47CBD9-C864-44BE-8539-D2518BD2BE6D}"/>
    <cellStyle name="40% - Accent1 6" xfId="402" xr:uid="{5D5C0E05-40B6-4D0A-96A8-CD63C8EF6882}"/>
    <cellStyle name="40% - Accent2" xfId="119" builtinId="35" customBuiltin="1"/>
    <cellStyle name="40% - Accent2 2" xfId="186" xr:uid="{754258B4-C612-4CDF-96F2-58818E8F97EA}"/>
    <cellStyle name="40% - Accent2 2 2" xfId="333" xr:uid="{05C021A2-4D31-4E37-BD99-BF629CFF9D43}"/>
    <cellStyle name="40% - Accent2 2 2 2" xfId="501" xr:uid="{134BF49D-03FA-4644-8742-FBC3E919AD11}"/>
    <cellStyle name="40% - Accent2 2 3" xfId="438" xr:uid="{B54C0DF4-ADC1-4C79-A6BC-21809FB91E04}"/>
    <cellStyle name="40% - Accent2 3" xfId="234" xr:uid="{B4CFA444-0118-42F0-9897-949B6223DBF9}"/>
    <cellStyle name="40% - Accent2 3 2" xfId="348" xr:uid="{F3A1CBFD-6F73-46AD-AB1A-D32E4FD21EA8}"/>
    <cellStyle name="40% - Accent2 3 2 2" xfId="516" xr:uid="{34D36D1A-AA18-492E-A9D4-E440FB67166D}"/>
    <cellStyle name="40% - Accent2 3 3" xfId="453" xr:uid="{C75D91F0-4DB5-47EE-BCD1-F36512805169}"/>
    <cellStyle name="40% - Accent2 4" xfId="259" xr:uid="{549F399D-1062-428D-9AC8-FBC8557D9F48}"/>
    <cellStyle name="40% - Accent2 5" xfId="301" xr:uid="{67B23B7D-1D29-42DA-970E-0A43CCBCC567}"/>
    <cellStyle name="40% - Accent2 5 2" xfId="473" xr:uid="{B47B0FFA-E90D-44B0-98FA-00CDA933A612}"/>
    <cellStyle name="40% - Accent2 6" xfId="405" xr:uid="{5D34ACBE-F302-4E08-9D42-4072FA9DFEE4}"/>
    <cellStyle name="40% - Accent3" xfId="123" builtinId="39" customBuiltin="1"/>
    <cellStyle name="40% - Accent3 2" xfId="150" xr:uid="{32E3F91A-ABD0-4825-9502-F257791BA671}"/>
    <cellStyle name="40% - Accent3 2 2" xfId="187" xr:uid="{23F5E177-8A1C-45E2-8843-FEBAA6B62089}"/>
    <cellStyle name="40% - Accent3 2 2 2" xfId="334" xr:uid="{DA7CAD89-95C6-412E-8603-43185A20AD10}"/>
    <cellStyle name="40% - Accent3 2 2 2 2" xfId="502" xr:uid="{D1BB7990-5024-4D6E-B487-7614F6EE4E2D}"/>
    <cellStyle name="40% - Accent3 2 2 3" xfId="439" xr:uid="{22D31CA8-2A99-4D12-9457-12A6399E0841}"/>
    <cellStyle name="40% - Accent3 2 3" xfId="247" xr:uid="{A2DEB99B-97E6-4EF4-9FD3-29FEFC420526}"/>
    <cellStyle name="40% - Accent3 2 3 2" xfId="360" xr:uid="{02EDD4DA-104B-4770-ABD1-B23BB75CFE57}"/>
    <cellStyle name="40% - Accent3 2 3 2 2" xfId="528" xr:uid="{FCDA4FA9-7A03-4527-9B4F-F0BDAB80F56E}"/>
    <cellStyle name="40% - Accent3 2 3 3" xfId="465" xr:uid="{B869BA9D-0467-4142-BA95-C65B205992B0}"/>
    <cellStyle name="40% - Accent3 2 4" xfId="315" xr:uid="{50109117-B1D7-416F-85D2-1905AC7D5D35}"/>
    <cellStyle name="40% - Accent3 2 4 2" xfId="486" xr:uid="{E24974DF-E6E0-4FAD-BE12-F71C6EA39334}"/>
    <cellStyle name="40% - Accent3 2 5" xfId="423" xr:uid="{8C88AD88-EB60-4EBD-BFBA-08EC71A5427B}"/>
    <cellStyle name="40% - Accent3 3" xfId="188" xr:uid="{9C3CF690-7980-4ECA-8F06-921AB199361D}"/>
    <cellStyle name="40% - Accent3 3 2" xfId="335" xr:uid="{CEBB930C-DF9D-4C47-895D-3C9ED9C9EAA8}"/>
    <cellStyle name="40% - Accent3 3 2 2" xfId="503" xr:uid="{723DD0FC-1199-4C0B-A8FD-26AE7C4C2845}"/>
    <cellStyle name="40% - Accent3 3 3" xfId="440" xr:uid="{694DC383-9302-4A9E-A529-E34152CD3D9E}"/>
    <cellStyle name="40% - Accent3 4" xfId="260" xr:uid="{80304610-2D8E-4B30-B34D-D8A71CE05920}"/>
    <cellStyle name="40% - Accent3 5" xfId="303" xr:uid="{199ED734-CD86-4C36-AE44-313B54D2560E}"/>
    <cellStyle name="40% - Accent3 5 2" xfId="475" xr:uid="{A95CEA32-6891-4C0B-8FC9-B8CD34F50A1A}"/>
    <cellStyle name="40% - Accent3 6" xfId="408" xr:uid="{AA9ACA67-A789-4509-86BA-E06168708FD7}"/>
    <cellStyle name="40% - Accent4" xfId="127" builtinId="43" customBuiltin="1"/>
    <cellStyle name="40% - Accent4 2" xfId="189" xr:uid="{2FDE2BFA-4A19-49AA-B1A0-E907432AB3E7}"/>
    <cellStyle name="40% - Accent4 2 2" xfId="336" xr:uid="{5D7CBC29-F770-4205-B1E3-CF1690CEA8CD}"/>
    <cellStyle name="40% - Accent4 2 2 2" xfId="504" xr:uid="{419B4880-AC33-4A18-9D16-C437D9355620}"/>
    <cellStyle name="40% - Accent4 2 3" xfId="441" xr:uid="{734B397A-E07F-4B1E-A87F-6616F55A196C}"/>
    <cellStyle name="40% - Accent4 3" xfId="235" xr:uid="{22417DB5-E2A1-4D00-B201-B53B427D4D20}"/>
    <cellStyle name="40% - Accent4 3 2" xfId="349" xr:uid="{9A1C5949-45A2-4555-9F6D-FB14F3F248CA}"/>
    <cellStyle name="40% - Accent4 3 2 2" xfId="517" xr:uid="{86AD1500-D519-419F-B985-ABF2E2E6CD4A}"/>
    <cellStyle name="40% - Accent4 3 3" xfId="454" xr:uid="{689F55CF-C46E-4450-949C-6B32D1B70890}"/>
    <cellStyle name="40% - Accent4 4" xfId="261" xr:uid="{4C8A0805-8AA3-4DB1-98CB-F31F9359EDB0}"/>
    <cellStyle name="40% - Accent4 5" xfId="305" xr:uid="{4B251191-154A-40E7-A5B0-F5FE257BE24F}"/>
    <cellStyle name="40% - Accent4 5 2" xfId="477" xr:uid="{7E0DE6E3-190C-4D5A-8400-6676FEFD221F}"/>
    <cellStyle name="40% - Accent4 6" xfId="411" xr:uid="{9A5F11E6-C9A7-46F9-875F-BC9D7A769A54}"/>
    <cellStyle name="40% - Accent5" xfId="131" builtinId="47" customBuiltin="1"/>
    <cellStyle name="40% - Accent5 2" xfId="190" xr:uid="{A1650198-03FA-42BF-9E33-D1C11CEA9719}"/>
    <cellStyle name="40% - Accent5 2 2" xfId="337" xr:uid="{83A0FD24-38C0-4A5B-B7FF-ADCE2F91F758}"/>
    <cellStyle name="40% - Accent5 2 2 2" xfId="505" xr:uid="{9AAC9F53-C97D-478F-B7D7-02A5D1E231AC}"/>
    <cellStyle name="40% - Accent5 2 3" xfId="442" xr:uid="{3BE0039B-35BF-4E73-939E-345C6EAD9816}"/>
    <cellStyle name="40% - Accent5 3" xfId="237" xr:uid="{F38E99A5-6F6D-4DC6-BAEE-A13B30749A74}"/>
    <cellStyle name="40% - Accent5 3 2" xfId="351" xr:uid="{48002B42-4D23-4F44-847A-76BC1AF48B43}"/>
    <cellStyle name="40% - Accent5 3 2 2" xfId="519" xr:uid="{4BBD9FB1-52AC-46EB-8C7C-E901BAFBDAE0}"/>
    <cellStyle name="40% - Accent5 3 3" xfId="456" xr:uid="{D48993EB-0E55-4564-9646-4EF5B22237C6}"/>
    <cellStyle name="40% - Accent5 4" xfId="262" xr:uid="{B47CD729-C3F7-4D30-A7E7-18FCFB9384B7}"/>
    <cellStyle name="40% - Accent5 5" xfId="307" xr:uid="{BF2053DF-5B31-4B9D-B385-CCAD6C7690C1}"/>
    <cellStyle name="40% - Accent5 5 2" xfId="479" xr:uid="{12131CFC-75DD-406A-A90C-0AD48ABB8B72}"/>
    <cellStyle name="40% - Accent5 6" xfId="414" xr:uid="{838CB0CC-32D0-461F-9816-82A8EA384AC7}"/>
    <cellStyle name="40% - Accent6" xfId="135" builtinId="51" customBuiltin="1"/>
    <cellStyle name="40% - Accent6 2" xfId="191" xr:uid="{E77D6085-764B-4A64-B2FF-0B45BA676D4B}"/>
    <cellStyle name="40% - Accent6 2 2" xfId="338" xr:uid="{BF7F5C97-70A1-4164-9199-815C6A6A59DD}"/>
    <cellStyle name="40% - Accent6 2 2 2" xfId="506" xr:uid="{AEE881A5-7AE9-4997-8146-3A1F10772217}"/>
    <cellStyle name="40% - Accent6 2 3" xfId="443" xr:uid="{B83BC04A-B5C9-4765-A660-781554A145B5}"/>
    <cellStyle name="40% - Accent6 3" xfId="239" xr:uid="{88061550-1FA6-4BD2-B11A-00A693901AF5}"/>
    <cellStyle name="40% - Accent6 3 2" xfId="353" xr:uid="{152B9510-68A0-49D7-8915-5D25E0B9BF37}"/>
    <cellStyle name="40% - Accent6 3 2 2" xfId="521" xr:uid="{461E0B48-C29C-4895-9E49-6F6F1737C64A}"/>
    <cellStyle name="40% - Accent6 3 3" xfId="458" xr:uid="{37D4E867-A15B-4049-84CB-30D6653A51FB}"/>
    <cellStyle name="40% - Accent6 4" xfId="263" xr:uid="{10120615-3E3F-4139-B9C5-3692E7333EF1}"/>
    <cellStyle name="40% - Accent6 5" xfId="309" xr:uid="{85E09836-C196-48D4-9646-6C568398DFDF}"/>
    <cellStyle name="40% - Accent6 5 2" xfId="481" xr:uid="{51932311-F302-4AF0-AFEC-F1C0623F1CDC}"/>
    <cellStyle name="40% - Accent6 6" xfId="417" xr:uid="{CE7C6004-06A6-4B1B-ACF7-816AA42E73FD}"/>
    <cellStyle name="60% - Accent1" xfId="116" builtinId="32" customBuiltin="1"/>
    <cellStyle name="60% - Accent1 2" xfId="264" xr:uid="{0FBAEF88-07D5-49D6-AD98-021F041A54DD}"/>
    <cellStyle name="60% - Accent1 3" xfId="162" xr:uid="{AAB8EBDA-4861-4239-B111-9C59BD42E424}"/>
    <cellStyle name="60% - Accent1 4" xfId="403" xr:uid="{5DBE0589-4232-49F5-812C-A4F6BCED3BA9}"/>
    <cellStyle name="60% - Accent2" xfId="120" builtinId="36" customBuiltin="1"/>
    <cellStyle name="60% - Accent2 2" xfId="265" xr:uid="{9E279784-8AA5-413C-98C7-366CEC6DFB32}"/>
    <cellStyle name="60% - Accent2 3" xfId="160" xr:uid="{608067CD-6D8A-4B2C-9F57-BBAF571DB4D4}"/>
    <cellStyle name="60% - Accent2 4" xfId="406" xr:uid="{F5627EDE-E682-465D-9D1F-D118CD6EDB28}"/>
    <cellStyle name="60% - Accent3" xfId="124" builtinId="40" customBuiltin="1"/>
    <cellStyle name="60% - Accent3 2" xfId="158" xr:uid="{2020F3C2-610A-42C5-9FF2-702422E251EC}"/>
    <cellStyle name="60% - Accent3 3" xfId="192" xr:uid="{48B78CC3-22E1-491A-AAE0-8BF3E7F3096D}"/>
    <cellStyle name="60% - Accent3 4" xfId="266" xr:uid="{3E54F20D-BB02-485A-8F91-78116B90E5AA}"/>
    <cellStyle name="60% - Accent3 5" xfId="228" xr:uid="{82F0EBB5-36B6-4F66-8E60-14D052D74CD1}"/>
    <cellStyle name="60% - Accent3 6" xfId="409" xr:uid="{46637A8A-4297-41E6-BAF1-E773C745165F}"/>
    <cellStyle name="60% - Accent4" xfId="128" builtinId="44" customBuiltin="1"/>
    <cellStyle name="60% - Accent4 2" xfId="155" xr:uid="{4A8164F4-AF29-41C6-8FFA-7C804D1ADC89}"/>
    <cellStyle name="60% - Accent4 3" xfId="193" xr:uid="{FD61FC60-A83C-49B7-9797-A0EE99A83A1F}"/>
    <cellStyle name="60% - Accent4 4" xfId="267" xr:uid="{5D21D77F-6032-461D-94C3-47E6E378BBB3}"/>
    <cellStyle name="60% - Accent4 5" xfId="229" xr:uid="{E3D23C08-4B3A-43DB-9650-87E04C33BFEF}"/>
    <cellStyle name="60% - Accent4 6" xfId="412" xr:uid="{BDB8699B-ADBD-4521-8A34-3395B894A8FE}"/>
    <cellStyle name="60% - Accent5" xfId="132" builtinId="48" customBuiltin="1"/>
    <cellStyle name="60% - Accent5 2" xfId="268" xr:uid="{D4FC1A86-B3B4-4426-8B92-F06ECEE35DD7}"/>
    <cellStyle name="60% - Accent5 3" xfId="153" xr:uid="{E92A1F54-DF19-4468-B032-DF406FD2D5A5}"/>
    <cellStyle name="60% - Accent5 4" xfId="415" xr:uid="{97FF358C-2EF0-4DCA-902C-BB48F5929612}"/>
    <cellStyle name="60% - Accent6" xfId="136" builtinId="52" customBuiltin="1"/>
    <cellStyle name="60% - Accent6 2" xfId="151" xr:uid="{9979C036-67CA-4769-9ADD-690967D5B507}"/>
    <cellStyle name="60% - Accent6 3" xfId="194" xr:uid="{A67149EF-37F3-42BD-9B42-2159AA8F54C2}"/>
    <cellStyle name="60% - Accent6 4" xfId="269" xr:uid="{CB875658-47C9-4A7E-AD6A-8813FABE1CD8}"/>
    <cellStyle name="60% - Accent6 5" xfId="230" xr:uid="{75DE898F-B343-4F62-AD73-6DBE3370387A}"/>
    <cellStyle name="60% - Accent6 6" xfId="418" xr:uid="{6C0963F7-3A1A-49F5-82FE-CE0AAB94BDF1}"/>
    <cellStyle name="Accent1" xfId="113" builtinId="29" customBuiltin="1"/>
    <cellStyle name="Accent1 2" xfId="270" xr:uid="{2F9EBDF8-EFCF-4670-9E73-CF15AA2C8513}"/>
    <cellStyle name="Accent2" xfId="117" builtinId="33" customBuiltin="1"/>
    <cellStyle name="Accent2 2" xfId="271" xr:uid="{4C591FB8-29AF-4AB5-97E2-BC80FDD56DC6}"/>
    <cellStyle name="Accent3" xfId="121" builtinId="37" customBuiltin="1"/>
    <cellStyle name="Accent3 2" xfId="272" xr:uid="{E913A6DA-DC1D-4392-A239-E1BAB359A021}"/>
    <cellStyle name="Accent4" xfId="125" builtinId="41" customBuiltin="1"/>
    <cellStyle name="Accent4 2" xfId="273" xr:uid="{84A5B390-28F3-4436-AD91-01055C82EFB2}"/>
    <cellStyle name="Accent5" xfId="129" builtinId="45" customBuiltin="1"/>
    <cellStyle name="Accent5 2" xfId="274" xr:uid="{C403E7C9-D686-4D0B-A326-885D438A21EA}"/>
    <cellStyle name="Accent6" xfId="133" builtinId="49" customBuiltin="1"/>
    <cellStyle name="Accent6 2" xfId="275" xr:uid="{17A3CF96-693C-4B39-A40E-E7BDAC964E89}"/>
    <cellStyle name="Bad" xfId="103" builtinId="27" customBuiltin="1"/>
    <cellStyle name="Bad 2" xfId="276" xr:uid="{CBADEF3F-2912-4147-A7DD-049F69ECDED7}"/>
    <cellStyle name="Body: normal cell" xfId="84" xr:uid="{AAABD088-1304-47CF-869E-54AFE6064964}"/>
    <cellStyle name="Calculation" xfId="107" builtinId="22" customBuiltin="1"/>
    <cellStyle name="Calculation 2" xfId="277" xr:uid="{BB04E3CF-4234-4B8C-AAB4-125B294BE0F7}"/>
    <cellStyle name="Calculation 2 2" xfId="144" xr:uid="{7B7706B3-9832-4411-865C-5FE3B67A3E7F}"/>
    <cellStyle name="Calculation 2 3" xfId="371" xr:uid="{D22B68E1-6862-4E14-981F-DE6FE40DFACA}"/>
    <cellStyle name="Calculation 2 4" xfId="142" xr:uid="{88FD6DA9-CF0D-401F-8AC0-34AC13E1AC70}"/>
    <cellStyle name="Calculation 2 5" xfId="532" xr:uid="{80EA1E4E-0792-49F2-8CDD-9DB3675CA249}"/>
    <cellStyle name="Check Cell" xfId="109" builtinId="23" customBuiltin="1"/>
    <cellStyle name="Check Cell 2" xfId="278" xr:uid="{360C5E20-32B8-430E-9B25-570B7B416A76}"/>
    <cellStyle name="Comma" xfId="1" builtinId="3"/>
    <cellStyle name="Comma 10" xfId="157" xr:uid="{974F5150-03CB-40DC-A5EB-C5EABAD19543}"/>
    <cellStyle name="Comma 11" xfId="196" xr:uid="{173CAE04-9699-45BD-9DFD-2F0B4490C258}"/>
    <cellStyle name="Comma 12" xfId="197" xr:uid="{07973501-D202-4AC4-A6D8-EA2177D037FA}"/>
    <cellStyle name="Comma 13" xfId="198" xr:uid="{A008CAFC-B508-4339-9785-5989C2DBAB39}"/>
    <cellStyle name="Comma 14" xfId="199" xr:uid="{9A4DBDFB-7ECD-48E3-86AC-642A7DB6A7FB}"/>
    <cellStyle name="Comma 15" xfId="200" xr:uid="{346B7324-9C26-4ADD-915E-E702361B1B96}"/>
    <cellStyle name="Comma 16" xfId="201" xr:uid="{8771733F-12D3-4155-B98D-EB9165D7524A}"/>
    <cellStyle name="Comma 17" xfId="202" xr:uid="{D2E828E0-02FA-4337-A075-CA80ADB00C44}"/>
    <cellStyle name="Comma 18" xfId="195" xr:uid="{7F531399-A568-451C-98EA-DFCBE4BF4564}"/>
    <cellStyle name="Comma 19" xfId="38" xr:uid="{DDCE393F-1348-4189-A747-6A37252868C8}"/>
    <cellStyle name="Comma 19 2" xfId="355" xr:uid="{11616344-594E-43BD-B3D3-2A8BBDD24E9E}"/>
    <cellStyle name="Comma 19 2 2" xfId="523" xr:uid="{20382AEF-507A-41FE-9713-7F3F7110F229}"/>
    <cellStyle name="Comma 19 3" xfId="241" xr:uid="{09364125-AA71-40DB-B3C6-6BFD41F7464D}"/>
    <cellStyle name="Comma 19 4" xfId="460" xr:uid="{F477A857-0E92-4671-A252-023A41BF204C}"/>
    <cellStyle name="Comma 2" xfId="2" xr:uid="{00000000-0005-0000-0000-000001000000}"/>
    <cellStyle name="Comma 2 2" xfId="14" xr:uid="{1C9077E0-5527-45A6-8EEF-D5F248207782}"/>
    <cellStyle name="Comma 2 2 2" xfId="339" xr:uid="{87C85B73-FB98-445F-B246-EBC9A17A70EC}"/>
    <cellStyle name="Comma 2 2 2 2" xfId="507" xr:uid="{7C3DBD12-55CE-40A6-AD91-611EF5C5F577}"/>
    <cellStyle name="Comma 2 2 3" xfId="203" xr:uid="{89AB8884-F733-449C-AE7A-12097AC2A627}"/>
    <cellStyle name="Comma 2 2 4" xfId="444" xr:uid="{19E12DBB-EE46-452D-A498-55B0BA630A9F}"/>
    <cellStyle name="Comma 2 3" xfId="248" xr:uid="{BA8E939A-B93A-4154-91FB-F6AF914A8C02}"/>
    <cellStyle name="Comma 2 3 2" xfId="361" xr:uid="{F1ED8589-0281-46E3-B46B-177F35A05B8D}"/>
    <cellStyle name="Comma 2 3 2 2" xfId="529" xr:uid="{0720A1B0-B8AD-4E61-9CD3-67FA6FCB3A19}"/>
    <cellStyle name="Comma 2 3 3" xfId="466" xr:uid="{D5CA8969-DBCC-4942-9628-E03149169FB4}"/>
    <cellStyle name="Comma 2 4" xfId="279" xr:uid="{3681BAD9-AD19-4234-B953-6B890ACD5432}"/>
    <cellStyle name="Comma 2 5" xfId="316" xr:uid="{0C178AA8-28C5-4254-B134-FAA54793A4FC}"/>
    <cellStyle name="Comma 2 5 2" xfId="487" xr:uid="{B421F866-52F5-4586-B278-AC21FC31A6A7}"/>
    <cellStyle name="Comma 2 6" xfId="154" xr:uid="{F70197A6-DA58-43B6-943A-AD1DCB6219F8}"/>
    <cellStyle name="Comma 2 7" xfId="424" xr:uid="{CA0AA54C-3DF2-4BD1-9698-E680398BF580}"/>
    <cellStyle name="Comma 20" xfId="321" xr:uid="{66FB9168-665A-4C7D-B9AF-CB5BAA389156}"/>
    <cellStyle name="Comma 21" xfId="173" xr:uid="{47A8C6B7-D99C-4630-BD41-EF9115ACF656}"/>
    <cellStyle name="Comma 22" xfId="139" xr:uid="{EDF07AD8-07D5-4FBC-B7E6-4AC4E228E6E2}"/>
    <cellStyle name="Comma 23" xfId="380" xr:uid="{AD33C9F0-2C09-4802-8291-6B3F5B9ECF61}"/>
    <cellStyle name="Comma 24" xfId="396" xr:uid="{26B9BC8F-EA4D-45D6-87B4-E2BC305C933A}"/>
    <cellStyle name="Comma 25" xfId="399" xr:uid="{25E08F24-082F-4A87-82B8-BD9544518156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4 2 2" xfId="340" xr:uid="{7BF1C912-7D37-46C0-9ECA-902C2637F2EA}"/>
    <cellStyle name="Comma 4 2 3" xfId="508" xr:uid="{CA4946FD-60E0-4280-840F-EDC47B5BFBC3}"/>
    <cellStyle name="Comma 4 3" xfId="204" xr:uid="{64B597EF-614B-48C9-9308-DFFB65FAF003}"/>
    <cellStyle name="Comma 4 4" xfId="445" xr:uid="{DA87397E-E44E-4267-8654-6BC7340240A9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5 4" xfId="152" xr:uid="{5DE1518C-9089-4D79-B9B5-C5286E6C9486}"/>
    <cellStyle name="Comma 6" xfId="74" xr:uid="{5AE75EFE-983D-4415-ABF1-C4602BF3FD8A}"/>
    <cellStyle name="Comma 6 2" xfId="163" xr:uid="{B4B23E05-5195-41A3-90BF-42849054B808}"/>
    <cellStyle name="Comma 7" xfId="85" xr:uid="{89556A3A-0567-43CE-A6FB-D4B1BAA3DD4E}"/>
    <cellStyle name="Comma 7 2" xfId="161" xr:uid="{02598CF4-B928-4226-945D-64F9B7ACCE5A}"/>
    <cellStyle name="Comma 8" xfId="159" xr:uid="{B00CD39B-8D0A-45F0-83E5-E0B0D26C09C8}"/>
    <cellStyle name="Comma 9" xfId="156" xr:uid="{E6D79CAB-76B5-43F7-8F35-C72F70247B21}"/>
    <cellStyle name="Currency 2" xfId="33" xr:uid="{8219487F-D241-4C0D-8320-8F18D40FD705}"/>
    <cellStyle name="Explanatory Text" xfId="111" builtinId="53" customBuiltin="1"/>
    <cellStyle name="Explanatory Text 2" xfId="280" xr:uid="{C94C4120-995B-42E5-AA29-196F3D294F3F}"/>
    <cellStyle name="Followed Hyperlink 2" xfId="86" xr:uid="{2AABDBBF-5861-44C2-B8CD-B4B39E048C61}"/>
    <cellStyle name="Font: Calibri, 9pt regular" xfId="87" xr:uid="{93F2A3A3-0F15-45D7-8E50-6DD1381DFC7F}"/>
    <cellStyle name="Footnotes: all except top row" xfId="88" xr:uid="{EE6C687A-2487-4788-A031-C0108D2935BA}"/>
    <cellStyle name="Footnotes: top row" xfId="89" xr:uid="{4F149294-B9D2-4009-9057-CD6A7F7B001A}"/>
    <cellStyle name="Good" xfId="102" builtinId="26" customBuiltin="1"/>
    <cellStyle name="Good 2" xfId="281" xr:uid="{1E99981B-F077-4E18-81A8-D74F5B17D5A1}"/>
    <cellStyle name="Header: bottom row" xfId="90" xr:uid="{D4B17AAD-4BD3-4462-AC0F-7F8590C3748C}"/>
    <cellStyle name="Header: top rows" xfId="91" xr:uid="{005404BA-63BC-4393-AABC-6C19CD87D840}"/>
    <cellStyle name="Heading 1" xfId="98" builtinId="16" customBuiltin="1"/>
    <cellStyle name="Heading 1 2" xfId="282" xr:uid="{7AEE7AEE-9447-408E-8437-9315EAE63F61}"/>
    <cellStyle name="Heading 2" xfId="99" builtinId="17" customBuiltin="1"/>
    <cellStyle name="Heading 2 2" xfId="283" xr:uid="{C92A699F-D084-464D-B420-ABE0BE484C8C}"/>
    <cellStyle name="Heading 3" xfId="100" builtinId="18" customBuiltin="1"/>
    <cellStyle name="Heading 3 2" xfId="284" xr:uid="{518823A6-45BC-47F1-B155-738DE517DFE9}"/>
    <cellStyle name="Heading 4" xfId="101" builtinId="19" customBuiltin="1"/>
    <cellStyle name="Heading 4 2" xfId="285" xr:uid="{B7D84DC7-608E-4152-974D-29C0719719BB}"/>
    <cellStyle name="Hyperlink" xfId="4" builtinId="8"/>
    <cellStyle name="Hyperlink 2" xfId="5" xr:uid="{00000000-0005-0000-0000-000004000000}"/>
    <cellStyle name="Hyperlink 2 2" xfId="249" xr:uid="{7FAD3A58-790F-4ED0-8D4A-AB7B6D7E6BD7}"/>
    <cellStyle name="Hyperlink 3" xfId="6" xr:uid="{00000000-0005-0000-0000-000005000000}"/>
    <cellStyle name="Hyperlink 3 2" xfId="242" xr:uid="{E8BFBA16-071E-4BDC-AF6C-C92DAA0BB06A}"/>
    <cellStyle name="Hyperlink 4" xfId="92" xr:uid="{3670B919-B3BB-4E75-9930-7D6F569E3C0E}"/>
    <cellStyle name="Hyperlink 4 2" xfId="164" xr:uid="{EC59D5CE-C330-4E4D-849B-4EECA6AA0335}"/>
    <cellStyle name="Input" xfId="105" builtinId="20" customBuiltin="1"/>
    <cellStyle name="Input 2" xfId="286" xr:uid="{7B58C08A-19AD-4A8C-8221-CED672E83884}"/>
    <cellStyle name="Input 2 2" xfId="374" xr:uid="{524081B4-428E-4FAD-BAED-75EDEB7C75CB}"/>
    <cellStyle name="Input 2 3" xfId="377" xr:uid="{710D73DB-794E-47B8-B9FF-E2E3E61B92CB}"/>
    <cellStyle name="Input 2 4" xfId="364" xr:uid="{5173D68A-B994-45B6-A40F-C4B6DCE1236A}"/>
    <cellStyle name="Input 2 5" xfId="533" xr:uid="{089FDFEE-2E79-4391-A2E9-EFE50EEF453F}"/>
    <cellStyle name="Linked Cell" xfId="108" builtinId="24" customBuiltin="1"/>
    <cellStyle name="Linked Cell 2" xfId="287" xr:uid="{0A4AFD6D-084D-4E85-8F45-FE4F57D325B9}"/>
    <cellStyle name="Neutral" xfId="104" builtinId="28" customBuiltin="1"/>
    <cellStyle name="Neutral 2" xfId="288" xr:uid="{7D349BF1-96FC-4376-98F3-D0609127254C}"/>
    <cellStyle name="Neutral 3" xfId="165" xr:uid="{2E34183E-493C-4078-91F7-C3680CD19886}"/>
    <cellStyle name="Normal" xfId="0" builtinId="0"/>
    <cellStyle name="Normal 10" xfId="27" xr:uid="{89A3A5E2-F786-4249-BED3-9C369DE53169}"/>
    <cellStyle name="Normal 10 2" xfId="60" xr:uid="{E126FF74-8F35-46C0-B499-BB9FB7C0492D}"/>
    <cellStyle name="Normal 10 3" xfId="205" xr:uid="{2C4D7787-381F-41EE-BCB9-07068866B7E2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18" xfId="82" xr:uid="{F12195B6-594D-47B4-9073-432DB3C44860}"/>
    <cellStyle name="Normal 11 19" xfId="206" xr:uid="{85C4D507-476D-43A0-82DF-71DDD8B7D3C5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2 5" xfId="388" xr:uid="{86AD59B7-3B91-4AAD-A645-4E2B6A5D9A8F}"/>
    <cellStyle name="Normal 11 2 6" xfId="393" xr:uid="{24853276-A8DC-41DC-AE66-C1617FEF48B5}"/>
    <cellStyle name="Normal 11 20" xfId="378" xr:uid="{C0BDACBF-3619-4FBE-8B6C-5F7DC0F97B12}"/>
    <cellStyle name="Normal 11 21" xfId="387" xr:uid="{74D9CBF0-B598-4AD2-B871-13389B41360D}"/>
    <cellStyle name="Normal 11 22" xfId="392" xr:uid="{1F3CAAB4-69E5-46FB-B133-84649FEA4BD8}"/>
    <cellStyle name="Normal 11 23" xfId="538" xr:uid="{758BDC14-02AB-4456-9C5D-DE87D645DC19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2 2 2" xfId="383" xr:uid="{0B0260D0-DD49-4387-9999-E9B1B6A18FB5}"/>
    <cellStyle name="Normal 11 3 3" xfId="65" xr:uid="{4E905B9F-EF70-4EAF-9DFC-D3D7C0096B62}"/>
    <cellStyle name="Normal 11 4" xfId="34" xr:uid="{A40234E1-3048-4174-AD15-1523030C134E}"/>
    <cellStyle name="Normal 11 4 2" xfId="386" xr:uid="{4396524B-9ED0-49DF-8F29-874B0BB004EC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3 2 5" xfId="391" xr:uid="{6A4C59DC-FAE5-430A-928C-82D960659C28}"/>
    <cellStyle name="Normal 11 6 3 3" xfId="385" xr:uid="{22F6C968-E729-4542-A5F8-49C2B25E9079}"/>
    <cellStyle name="Normal 11 6 3 4" xfId="540" xr:uid="{71B0D753-DA45-4763-9654-BF009FB9A7EC}"/>
    <cellStyle name="Normal 11 6 4" xfId="46" xr:uid="{8BEB9B88-2ECA-4F90-BDBA-C56B823B5754}"/>
    <cellStyle name="Normal 11 6 4 2" xfId="382" xr:uid="{E35375AA-E205-4716-B41F-9DAAC86A63D1}"/>
    <cellStyle name="Normal 11 6 4 2 2" xfId="390" xr:uid="{B2EA22BC-704B-49CA-ACF5-33AA469B7774}"/>
    <cellStyle name="Normal 11 6 4 3" xfId="384" xr:uid="{2CD41167-0A76-4530-B037-E4CBB634296A}"/>
    <cellStyle name="Normal 11 6 4 4" xfId="389" xr:uid="{7BB3A74E-95FF-4A27-B824-3C3753CE7DF9}"/>
    <cellStyle name="Normal 11 6 4 5" xfId="539" xr:uid="{AAFF4551-8E6A-430B-A687-9C4F18162987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1 9 2" xfId="394" xr:uid="{07A513BC-77EF-480F-AC79-ABF1EE013C34}"/>
    <cellStyle name="Normal 12" xfId="75" xr:uid="{35957245-A0B2-4B95-BCE2-DFC85ECCD621}"/>
    <cellStyle name="Normal 12 2" xfId="207" xr:uid="{3E1767D0-6B40-4A5B-8FAB-6DEF2ECBFBE5}"/>
    <cellStyle name="Normal 13" xfId="79" xr:uid="{9E2AFF03-0374-4DAB-9B4E-F3E30AAD9A78}"/>
    <cellStyle name="Normal 13 2" xfId="208" xr:uid="{5A4175F5-C1BB-41BA-9779-D3876062B4C9}"/>
    <cellStyle name="Normal 14" xfId="83" xr:uid="{BAB90E85-6B6D-45C8-8BC4-D96E3F711A33}"/>
    <cellStyle name="Normal 14 2" xfId="209" xr:uid="{90BF5225-74E6-4131-BFF1-818FEA15BE96}"/>
    <cellStyle name="Normal 15" xfId="210" xr:uid="{2611E386-557A-45FD-A072-E557E32BD723}"/>
    <cellStyle name="Normal 16" xfId="211" xr:uid="{E584E80A-0AC0-4BA4-972E-F77FC3AC618B}"/>
    <cellStyle name="Normal 17" xfId="174" xr:uid="{82B278D5-1A1A-4E42-AEBD-22B80ED8F858}"/>
    <cellStyle name="Normal 18" xfId="231" xr:uid="{01500EEB-E236-40E6-B24D-636C7D545421}"/>
    <cellStyle name="Normal 18 2" xfId="345" xr:uid="{6D9B38BC-E55C-47F7-92C2-7A55AA88F965}"/>
    <cellStyle name="Normal 18 2 2" xfId="513" xr:uid="{3204510C-1F56-4554-B8F8-4E408B4775BA}"/>
    <cellStyle name="Normal 18 3" xfId="450" xr:uid="{0A31AA5F-164E-4594-AE34-7D996B785216}"/>
    <cellStyle name="Normal 19" xfId="310" xr:uid="{85F2347C-2F58-47B0-AAF4-DA11F271F632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20" xfId="297" xr:uid="{5675D048-D926-4D76-A9C5-0E9E74212AD8}"/>
    <cellStyle name="Normal 20 2" xfId="469" xr:uid="{CECAC5B7-563F-4937-99A1-2C86E434C1DA}"/>
    <cellStyle name="Normal 21" xfId="145" xr:uid="{57311FF5-2538-45E7-80A5-22F4407D22EE}"/>
    <cellStyle name="Normal 22" xfId="137" xr:uid="{34355714-1B6B-473D-B1EE-A7F5E53EA421}"/>
    <cellStyle name="Normal 23" xfId="379" xr:uid="{3C180D01-4C5F-437C-AB00-FA7095AF426B}"/>
    <cellStyle name="Normal 24" xfId="397" xr:uid="{9E817E53-3D19-43D1-8674-DC0BA6F4F565}"/>
    <cellStyle name="Normal 3" xfId="9" xr:uid="{00000000-0005-0000-0000-000009000000}"/>
    <cellStyle name="Normal 3 2" xfId="21" xr:uid="{70607CDE-CC71-4B27-B690-3D2401DD0B38}"/>
    <cellStyle name="Normal 3 3" xfId="166" xr:uid="{24016708-ACDF-4123-AC81-090C466438EA}"/>
    <cellStyle name="Normal 4" xfId="10" xr:uid="{00000000-0005-0000-0000-00000A000000}"/>
    <cellStyle name="Normal 4 2" xfId="15" xr:uid="{4805FFD6-0377-46EF-881C-FDB9DF487011}"/>
    <cellStyle name="Normal 4 3" xfId="167" xr:uid="{32C3AD38-24EB-4CDC-B98B-A91F4D2A626A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5 4" xfId="168" xr:uid="{72593085-5AF4-4127-9467-36099588CA02}"/>
    <cellStyle name="Normal 6" xfId="13" xr:uid="{EBE75F6A-C88B-45B8-A8CA-B04BAAF6B28C}"/>
    <cellStyle name="Normal 6 2" xfId="212" xr:uid="{1A367DA1-9CC0-42DA-9119-E74336950E8C}"/>
    <cellStyle name="Normal 6 2 2" xfId="341" xr:uid="{E20501AB-0A1D-45EC-8D74-124F36BB4B07}"/>
    <cellStyle name="Normal 6 2 2 2" xfId="509" xr:uid="{07B0E387-4C54-4313-94CC-7440F183E9FB}"/>
    <cellStyle name="Normal 6 2 3" xfId="446" xr:uid="{1BE2B0A0-C1D6-474D-A6F1-71485FCF5C32}"/>
    <cellStyle name="Normal 6 3" xfId="250" xr:uid="{946EAB2F-3003-438D-AECA-E36A970A2718}"/>
    <cellStyle name="Normal 6 3 2" xfId="362" xr:uid="{12BACF06-EA48-4382-91FB-563037CC3A6F}"/>
    <cellStyle name="Normal 6 3 2 2" xfId="530" xr:uid="{CB892455-AC46-4A8E-9402-A820140506A7}"/>
    <cellStyle name="Normal 6 3 3" xfId="467" xr:uid="{42FEE5EB-A9D9-4285-A8C9-AAED5BBFD307}"/>
    <cellStyle name="Normal 6 4" xfId="289" xr:uid="{0EC8BBF7-2579-442B-B652-39916CBF4B7C}"/>
    <cellStyle name="Normal 6 5" xfId="317" xr:uid="{2E522AAE-3A43-4D85-9BC9-D75DF67CA993}"/>
    <cellStyle name="Normal 6 5 2" xfId="488" xr:uid="{538C26A6-2F02-4606-9B8B-664A1F5ADA0C}"/>
    <cellStyle name="Normal 6 6" xfId="169" xr:uid="{808CEDD4-B41F-4D2C-982F-C9996D1BAA59}"/>
    <cellStyle name="Normal 6 7" xfId="425" xr:uid="{9615BE54-4CBE-4916-AB95-691C065DCB5C}"/>
    <cellStyle name="Normal 7" xfId="16" xr:uid="{3D34A042-2E55-4E8C-B59D-A542FFF81875}"/>
    <cellStyle name="Normal 7 2" xfId="213" xr:uid="{820CAB25-D625-44C5-95BC-3DAC14BF070F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8 5" xfId="214" xr:uid="{2576F2E6-EAB3-416F-A6AD-5298A27898D5}"/>
    <cellStyle name="Normal 9" xfId="25" xr:uid="{AF562AB2-2E7D-4C04-814F-6AC30A92CE3A}"/>
    <cellStyle name="Normal 9 2" xfId="58" xr:uid="{9E080DFC-9773-4552-A43C-01793D50B659}"/>
    <cellStyle name="Normal 9 2 2" xfId="342" xr:uid="{62794239-764B-447C-ABD6-07E51E756932}"/>
    <cellStyle name="Normal 9 2 3" xfId="510" xr:uid="{32A30A07-1A4B-467F-8E16-4E192EDE4574}"/>
    <cellStyle name="Normal 9 3" xfId="215" xr:uid="{6F223409-C652-4E49-AD52-D3363DDC15E9}"/>
    <cellStyle name="Normal 9 4" xfId="447" xr:uid="{463FAE72-5C43-4756-845D-1BCA8D9EF04E}"/>
    <cellStyle name="Note 2" xfId="170" xr:uid="{C3F208D1-D7F4-4FA1-9DDC-24DCCAF00B13}"/>
    <cellStyle name="Note 2 2" xfId="216" xr:uid="{D1F5C7A0-2A37-4AEC-B6E7-1061E205B394}"/>
    <cellStyle name="Note 2 2 2" xfId="343" xr:uid="{BE6495D6-013F-4019-8749-17BC74715577}"/>
    <cellStyle name="Note 2 2 2 2" xfId="511" xr:uid="{7A438C1B-4F76-4A9B-9E10-D8E721394356}"/>
    <cellStyle name="Note 2 2 3" xfId="448" xr:uid="{F0C7965A-A9A6-4729-AE4F-E6B95123599A}"/>
    <cellStyle name="Note 2 3" xfId="251" xr:uid="{FD29B074-0975-4C84-B020-F6AFF1851528}"/>
    <cellStyle name="Note 2 3 2" xfId="363" xr:uid="{50FF0CC4-B61A-4B7C-A7A5-65EFC15AC715}"/>
    <cellStyle name="Note 2 3 2 2" xfId="531" xr:uid="{650DE1C0-D70A-4440-88AC-4EFAD5A2CE21}"/>
    <cellStyle name="Note 2 3 3" xfId="468" xr:uid="{02971889-FFED-466D-99FF-DF1210F3BF73}"/>
    <cellStyle name="Note 2 4" xfId="291" xr:uid="{B26BB074-7925-4B7D-8117-A3CAC5FCB62F}"/>
    <cellStyle name="Note 2 4 2" xfId="140" xr:uid="{CD338698-8C7F-41B4-BFCC-7A91B33CA405}"/>
    <cellStyle name="Note 2 4 3" xfId="365" xr:uid="{27FEE197-3F21-42C7-B439-6EEE26B30AE5}"/>
    <cellStyle name="Note 2 4 4" xfId="370" xr:uid="{E345255D-CBE2-4B3B-BDE4-FBDA6A4F6C58}"/>
    <cellStyle name="Note 2 4 5" xfId="535" xr:uid="{EA6AC9D5-3811-477F-B153-E26EA137DE61}"/>
    <cellStyle name="Note 2 5" xfId="318" xr:uid="{B3F27023-4B65-487D-85FA-119154F7A601}"/>
    <cellStyle name="Note 2 5 2" xfId="489" xr:uid="{BDFF026C-22A7-4B40-B2D0-0A45C4939EFE}"/>
    <cellStyle name="Note 2 6" xfId="426" xr:uid="{57CD975C-CBA2-43FD-8B00-BF6155D01DCB}"/>
    <cellStyle name="Note 3" xfId="217" xr:uid="{A7C0021F-FA46-4B96-89A8-7F34D94EC6D7}"/>
    <cellStyle name="Note 3 2" xfId="344" xr:uid="{C8A3A4EC-5754-4556-B45B-E9F0EB3392A3}"/>
    <cellStyle name="Note 3 2 2" xfId="512" xr:uid="{2AF03C31-DCBA-48A0-8DCC-65215EB5B118}"/>
    <cellStyle name="Note 3 3" xfId="449" xr:uid="{CE7A78AD-10EA-4619-A3B2-CE8D4035EA71}"/>
    <cellStyle name="Note 4" xfId="232" xr:uid="{674244FC-6EC5-411F-89FA-4B0E9038DE2A}"/>
    <cellStyle name="Note 4 2" xfId="346" xr:uid="{476131BE-25DB-416D-A65E-21EF7F48DC69}"/>
    <cellStyle name="Note 4 2 2" xfId="514" xr:uid="{C1EB9865-7604-4A48-BEDC-554B4890F689}"/>
    <cellStyle name="Note 4 3" xfId="451" xr:uid="{1D673770-0746-449A-A0A5-B38D3D2F2DF2}"/>
    <cellStyle name="Note 5" xfId="290" xr:uid="{49675C76-00C1-4D5F-A92B-FB5C643FAD50}"/>
    <cellStyle name="Note 5 2" xfId="372" xr:uid="{1D4303E1-BA87-49AF-BEBD-66461DE983B6}"/>
    <cellStyle name="Note 5 3" xfId="375" xr:uid="{18B60FC2-E969-4468-8CAB-3005B7F7D8F5}"/>
    <cellStyle name="Note 5 4" xfId="141" xr:uid="{96A6F1D8-69F2-4049-89FA-0FCDB1B3A5B9}"/>
    <cellStyle name="Note 5 5" xfId="534" xr:uid="{4F047C22-9170-4F33-93B2-2242B8DF5BE0}"/>
    <cellStyle name="Note 6" xfId="143" xr:uid="{76A629B7-C611-430C-B43D-08A666E8CF1D}"/>
    <cellStyle name="Note 7" xfId="400" xr:uid="{6D65B6CE-61EF-45DD-BCDA-5D6653CCCB50}"/>
    <cellStyle name="Output" xfId="106" builtinId="21" customBuiltin="1"/>
    <cellStyle name="Output 2" xfId="292" xr:uid="{F0F7321F-71EB-4A8C-8C89-2F60FECB46B8}"/>
    <cellStyle name="Output 2 2" xfId="376" xr:uid="{90A23603-FA65-4F0B-AAB1-E7BE1B0B7B4D}"/>
    <cellStyle name="Output 2 3" xfId="366" xr:uid="{D7F1167F-3E6F-43C6-84FD-662AF9CC9FFC}"/>
    <cellStyle name="Output 2 4" xfId="367" xr:uid="{0E6E46EF-85D7-42C9-9F6B-65DAE1A4A407}"/>
    <cellStyle name="Output 2 5" xfId="536" xr:uid="{0E638A27-1413-4B7C-9386-0C099ECE9030}"/>
    <cellStyle name="Parent row" xfId="93" xr:uid="{1E35CEB2-0821-4BF1-BD95-43226D3AD920}"/>
    <cellStyle name="Percent" xfId="12" builtinId="5"/>
    <cellStyle name="Percent 10" xfId="219" xr:uid="{92F77126-7B32-4F8C-B344-7B37D151D0C7}"/>
    <cellStyle name="Percent 11" xfId="218" xr:uid="{F7D15F6F-81BB-4D3E-B697-27C670C1CDD2}"/>
    <cellStyle name="Percent 12" xfId="240" xr:uid="{741C9297-9E27-4399-A400-2F12719101AC}"/>
    <cellStyle name="Percent 12 2" xfId="354" xr:uid="{F0A842BE-F717-44AD-80B7-18EB878BCAC3}"/>
    <cellStyle name="Percent 12 2 2" xfId="522" xr:uid="{F6493DB8-E085-49B5-90A8-552B63B8E6B1}"/>
    <cellStyle name="Percent 12 3" xfId="459" xr:uid="{86259A49-0CFD-4911-95F0-A96FA8BD0AD2}"/>
    <cellStyle name="Percent 13" xfId="320" xr:uid="{BEB9E956-C81D-440D-9C91-F27DC881370B}"/>
    <cellStyle name="Percent 14" xfId="172" xr:uid="{A6D3652B-46E0-4617-A624-3F55D9D45EF5}"/>
    <cellStyle name="Percent 15" xfId="138" xr:uid="{1EB19C15-2A09-4CDB-B7E1-F0F563AABEDB}"/>
    <cellStyle name="Percent 16" xfId="381" xr:uid="{5E5EE0A9-1D4B-47BE-8361-41A2BA1C8885}"/>
    <cellStyle name="Percent 17" xfId="395" xr:uid="{DFECE782-C944-4E99-AF4B-F8CE5889D79D}"/>
    <cellStyle name="Percent 18" xfId="398" xr:uid="{5BB29555-DD0A-4490-B063-F3A79C7F0D2B}"/>
    <cellStyle name="Percent 2" xfId="220" xr:uid="{4E8FF06F-C868-44AB-8B82-DE6FBA9CF0DD}"/>
    <cellStyle name="Percent 2 2" xfId="293" xr:uid="{117EB9A9-FAC7-4563-9DA1-0C6C8C6BE39A}"/>
    <cellStyle name="Percent 3" xfId="221" xr:uid="{9D943620-D73E-4A49-9FE6-D205063B48A5}"/>
    <cellStyle name="Percent 4" xfId="222" xr:uid="{8932F41B-FFB4-4B9C-BAD8-A0A307E40099}"/>
    <cellStyle name="Percent 5" xfId="223" xr:uid="{1B85EFDA-1988-40D7-A863-F101DBBB4422}"/>
    <cellStyle name="Percent 6" xfId="224" xr:uid="{3F95738A-1B06-45D0-81DA-5EE8D7595801}"/>
    <cellStyle name="Percent 7" xfId="225" xr:uid="{0102FDA9-6934-4662-BB9C-D0F83F816AF2}"/>
    <cellStyle name="Percent 8" xfId="226" xr:uid="{142055B5-847B-4C5A-949F-23C062343333}"/>
    <cellStyle name="Percent 9" xfId="227" xr:uid="{2422C149-2921-477B-8821-F9004EA738B7}"/>
    <cellStyle name="Section Break" xfId="94" xr:uid="{EB5B8B72-A3B2-4FD1-9FD6-1F1106690713}"/>
    <cellStyle name="Section Break: parent row" xfId="95" xr:uid="{7C00BD4B-F008-4F1E-A7B5-8C0CA452A3F5}"/>
    <cellStyle name="Table title" xfId="96" xr:uid="{70FFA00A-4881-4DB5-929F-7AB7942E011A}"/>
    <cellStyle name="Title" xfId="97" builtinId="15" customBuiltin="1"/>
    <cellStyle name="Title 2" xfId="294" xr:uid="{962FCC9F-DABB-4175-89CF-C551B91789D2}"/>
    <cellStyle name="Title 3" xfId="319" xr:uid="{B6E17F5F-CA7A-489E-B43B-605634F9C8CA}"/>
    <cellStyle name="Title 4" xfId="171" xr:uid="{500FA8BC-4D95-4D1F-8A33-171C7EC13FD0}"/>
    <cellStyle name="Total" xfId="112" builtinId="25" customBuiltin="1"/>
    <cellStyle name="Total 2" xfId="295" xr:uid="{095124E0-EB53-42E5-A9A7-2724DCDF312E}"/>
    <cellStyle name="Total 2 2" xfId="369" xr:uid="{5B16891E-784B-4B3F-AC81-573F5799E57B}"/>
    <cellStyle name="Total 2 3" xfId="373" xr:uid="{0B1DCB72-05CF-48C0-8681-CABC6DA84842}"/>
    <cellStyle name="Total 2 4" xfId="368" xr:uid="{B3DF6F0E-5675-4F4B-BE9B-E3AE5E425E74}"/>
    <cellStyle name="Total 2 5" xfId="537" xr:uid="{A90B6C78-34DA-4288-9E9C-310C6FDEB6C8}"/>
    <cellStyle name="Warning Text" xfId="110" builtinId="11" customBuiltin="1"/>
    <cellStyle name="Warning Text 2" xfId="296" xr:uid="{EFA92663-19D7-471E-8855-E3A9F964DFF3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C4CA7E98-DF71-47D1-AD66-48E16269045A}">
      <tableStyleElement type="wholeTable" dxfId="1"/>
      <tableStyleElement type="headerRow" dxfId="0"/>
    </tableStyle>
  </tableStyles>
  <colors>
    <mruColors>
      <color rgb="FFFFFF00"/>
      <color rgb="FF0E2841"/>
      <color rgb="FFCAEDFB"/>
      <color rgb="FFB3A2C7"/>
      <color rgb="FFA991D5"/>
      <color rgb="FF9429FF"/>
      <color rgb="FF0000FF"/>
      <color rgb="FF00B050"/>
      <color rgb="FFFFCC66"/>
      <color rgb="FFC05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Select major exporters' soybean oil and palm oil prices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566466618635018E-2"/>
          <c:y val="0.21187972826926046"/>
          <c:w val="0.8604161893433051"/>
          <c:h val="0.546315166486542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Soybean oil, Argentina, FOB, Up River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'Figure 1'!$A$2:$A$13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 YTD</c:v>
                </c:pt>
              </c:strCache>
            </c:strRef>
          </c:cat>
          <c:val>
            <c:numRef>
              <c:f>'Figure 1'!$B$2:$B$13</c:f>
              <c:numCache>
                <c:formatCode>_(* #,##0_);_(* \(#,##0\);_(* "-"??_);_(@_)</c:formatCode>
                <c:ptCount val="12"/>
                <c:pt idx="0">
                  <c:v>870.10473053516546</c:v>
                </c:pt>
                <c:pt idx="1">
                  <c:v>705.91469587176107</c:v>
                </c:pt>
                <c:pt idx="2">
                  <c:v>697.42374051069703</c:v>
                </c:pt>
                <c:pt idx="3">
                  <c:v>762.39173724825889</c:v>
                </c:pt>
                <c:pt idx="4">
                  <c:v>723.53585833820387</c:v>
                </c:pt>
                <c:pt idx="5">
                  <c:v>649.23583737010506</c:v>
                </c:pt>
                <c:pt idx="6">
                  <c:v>696.91426297132818</c:v>
                </c:pt>
                <c:pt idx="7">
                  <c:v>1146.8746400338791</c:v>
                </c:pt>
                <c:pt idx="8">
                  <c:v>1494.5327373109983</c:v>
                </c:pt>
                <c:pt idx="9">
                  <c:v>1091.366993694711</c:v>
                </c:pt>
                <c:pt idx="10">
                  <c:v>905.83076494761281</c:v>
                </c:pt>
                <c:pt idx="11">
                  <c:v>1049.4215603237344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8B-44B9-9B9D-42B8A3974B9C}"/>
            </c:ext>
          </c:extLst>
        </c:ser>
        <c:ser>
          <c:idx val="3"/>
          <c:order val="1"/>
          <c:tx>
            <c:strRef>
              <c:f>'Figure 1'!$C$1</c:f>
              <c:strCache>
                <c:ptCount val="1"/>
                <c:pt idx="0">
                  <c:v>Soybean oil, United States, FOB, Gulf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1'!$A$2:$A$13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 YTD</c:v>
                </c:pt>
              </c:strCache>
            </c:strRef>
          </c:cat>
          <c:val>
            <c:numRef>
              <c:f>'Figure 1'!$C$2:$C$13</c:f>
              <c:numCache>
                <c:formatCode>_(* #,##0_);_(* \(#,##0\);_(* "-"??_);_(@_)</c:formatCode>
                <c:ptCount val="12"/>
                <c:pt idx="0">
                  <c:v>894.59691739600987</c:v>
                </c:pt>
                <c:pt idx="1">
                  <c:v>743.3632977758956</c:v>
                </c:pt>
                <c:pt idx="2">
                  <c:v>712.03035628019325</c:v>
                </c:pt>
                <c:pt idx="3">
                  <c:v>788.43810865644025</c:v>
                </c:pt>
                <c:pt idx="4">
                  <c:v>731.41713372074798</c:v>
                </c:pt>
                <c:pt idx="5">
                  <c:v>674.82078922768051</c:v>
                </c:pt>
                <c:pt idx="6">
                  <c:v>712.32106475468981</c:v>
                </c:pt>
                <c:pt idx="7">
                  <c:v>1273.7420109872012</c:v>
                </c:pt>
                <c:pt idx="8">
                  <c:v>1634.8602557171089</c:v>
                </c:pt>
                <c:pt idx="9">
                  <c:v>1495.4120067601482</c:v>
                </c:pt>
                <c:pt idx="10">
                  <c:v>1097.431854743083</c:v>
                </c:pt>
                <c:pt idx="11">
                  <c:v>1032.4527020986261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B-44B9-9B9D-42B8A3974B9C}"/>
            </c:ext>
          </c:extLst>
        </c:ser>
        <c:ser>
          <c:idx val="1"/>
          <c:order val="2"/>
          <c:tx>
            <c:strRef>
              <c:f>'Figure 1'!$D$1</c:f>
              <c:strCache>
                <c:ptCount val="1"/>
                <c:pt idx="0">
                  <c:v> Palm oil, Malaysia, FOB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1'!$A$2:$A$13</c:f>
              <c:strCache>
                <c:ptCount val="12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  <c:pt idx="10">
                  <c:v>2023/24</c:v>
                </c:pt>
                <c:pt idx="11">
                  <c:v>2024/25 YTD</c:v>
                </c:pt>
              </c:strCache>
            </c:strRef>
          </c:cat>
          <c:val>
            <c:numRef>
              <c:f>'Figure 1'!$D$2:$D$13</c:f>
              <c:numCache>
                <c:formatCode>#,##0</c:formatCode>
                <c:ptCount val="12"/>
                <c:pt idx="0">
                  <c:v>803.82287941527056</c:v>
                </c:pt>
                <c:pt idx="1">
                  <c:v>626.8331141382771</c:v>
                </c:pt>
                <c:pt idx="2">
                  <c:v>627.35930735930731</c:v>
                </c:pt>
                <c:pt idx="3">
                  <c:v>701.26457313821447</c:v>
                </c:pt>
                <c:pt idx="4">
                  <c:v>625.54825624254966</c:v>
                </c:pt>
                <c:pt idx="5">
                  <c:v>519.05268327686815</c:v>
                </c:pt>
                <c:pt idx="6">
                  <c:v>642.15587748604059</c:v>
                </c:pt>
                <c:pt idx="7">
                  <c:v>1024.6793439048872</c:v>
                </c:pt>
                <c:pt idx="8">
                  <c:v>1373.1670744714222</c:v>
                </c:pt>
                <c:pt idx="9">
                  <c:v>911.22341622749229</c:v>
                </c:pt>
                <c:pt idx="10">
                  <c:v>885.83975625823462</c:v>
                </c:pt>
                <c:pt idx="11">
                  <c:v>1130.6231531150008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4F-4389-81D0-F476C0082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4455439"/>
        <c:axId val="1284457935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 year</a:t>
                </a:r>
              </a:p>
            </c:rich>
          </c:tx>
          <c:layout>
            <c:manualLayout>
              <c:xMode val="edge"/>
              <c:yMode val="edge"/>
              <c:x val="0.49812504206204999"/>
              <c:y val="0.866555504091400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metric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ton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0.1482136791724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590795791878906"/>
          <c:y val="0.1078327957267607"/>
          <c:w val="0.75797937458563824"/>
          <c:h val="8.0243848448978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Global soybean meal consumption and select major exporters' prices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3742328470385E-3"/>
          <c:y val="1.57238600988829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0918580181229"/>
          <c:y val="0.20905578971616418"/>
          <c:w val="0.84806374158929332"/>
          <c:h val="0.54913896688477848"/>
        </c:manualLayout>
      </c:layout>
      <c:barChart>
        <c:barDir val="col"/>
        <c:grouping val="clustered"/>
        <c:varyColors val="0"/>
        <c:ser>
          <c:idx val="4"/>
          <c:order val="1"/>
          <c:tx>
            <c:strRef>
              <c:f>'Figure 2'!$D$1</c:f>
              <c:strCache>
                <c:ptCount val="1"/>
                <c:pt idx="0">
                  <c:v>Total meal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2'!$A$3:$A$12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'Figure 2'!$D$3:$D$12</c:f>
              <c:numCache>
                <c:formatCode>#,##0</c:formatCode>
                <c:ptCount val="10"/>
                <c:pt idx="0">
                  <c:v>213753</c:v>
                </c:pt>
                <c:pt idx="1">
                  <c:v>222268</c:v>
                </c:pt>
                <c:pt idx="2">
                  <c:v>228925</c:v>
                </c:pt>
                <c:pt idx="3">
                  <c:v>230486</c:v>
                </c:pt>
                <c:pt idx="4">
                  <c:v>240417</c:v>
                </c:pt>
                <c:pt idx="5">
                  <c:v>245753</c:v>
                </c:pt>
                <c:pt idx="6">
                  <c:v>245995</c:v>
                </c:pt>
                <c:pt idx="7">
                  <c:v>247324</c:v>
                </c:pt>
                <c:pt idx="8">
                  <c:v>254306</c:v>
                </c:pt>
                <c:pt idx="9">
                  <c:v>270395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A-423A-A6E3-B2CE1A83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lineChart>
        <c:grouping val="standar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Argentina, FOB, Up River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'Figure 2'!$B$3:$B$12</c:f>
              <c:numCache>
                <c:formatCode>#,##0</c:formatCode>
                <c:ptCount val="10"/>
                <c:pt idx="0">
                  <c:v>348.07392245435722</c:v>
                </c:pt>
                <c:pt idx="1">
                  <c:v>326.25167199949811</c:v>
                </c:pt>
                <c:pt idx="2">
                  <c:v>372.61264632265778</c:v>
                </c:pt>
                <c:pt idx="3">
                  <c:v>321.10028571098366</c:v>
                </c:pt>
                <c:pt idx="4">
                  <c:v>331.32706411945543</c:v>
                </c:pt>
                <c:pt idx="5">
                  <c:v>438.50615942028986</c:v>
                </c:pt>
                <c:pt idx="6">
                  <c:v>470.13797838634792</c:v>
                </c:pt>
                <c:pt idx="7">
                  <c:v>510.83246517974789</c:v>
                </c:pt>
                <c:pt idx="8">
                  <c:v>424.07250768555122</c:v>
                </c:pt>
                <c:pt idx="9">
                  <c:v>333.84514241796848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7A-423A-A6E3-B2CE1A839365}"/>
            </c:ext>
          </c:extLst>
        </c:ser>
        <c:ser>
          <c:idx val="2"/>
          <c:order val="2"/>
          <c:tx>
            <c:strRef>
              <c:f>'Figure 2'!$C$1</c:f>
              <c:strCache>
                <c:ptCount val="1"/>
                <c:pt idx="0">
                  <c:v>United States, FOB, Gulf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strRef>
              <c:f>'Figure 2'!$A$3:$A$12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'Figure 2'!$C$3:$C$12</c:f>
              <c:numCache>
                <c:formatCode>#,##0</c:formatCode>
                <c:ptCount val="10"/>
                <c:pt idx="0">
                  <c:v>369.07398386034259</c:v>
                </c:pt>
                <c:pt idx="1">
                  <c:v>350.17843478260869</c:v>
                </c:pt>
                <c:pt idx="2">
                  <c:v>391.47184431269216</c:v>
                </c:pt>
                <c:pt idx="3">
                  <c:v>343.97789190037014</c:v>
                </c:pt>
                <c:pt idx="4">
                  <c:v>345.21994976159112</c:v>
                </c:pt>
                <c:pt idx="5">
                  <c:v>461.93081840924765</c:v>
                </c:pt>
                <c:pt idx="6">
                  <c:v>510.71031494290736</c:v>
                </c:pt>
                <c:pt idx="7">
                  <c:v>521.41590105244984</c:v>
                </c:pt>
                <c:pt idx="8">
                  <c:v>442.68579372921772</c:v>
                </c:pt>
                <c:pt idx="9">
                  <c:v>352.31243608444692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7A-423A-A6E3-B2CE1A839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957823"/>
        <c:axId val="1641959263"/>
      </c:line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 year</a:t>
                </a:r>
              </a:p>
            </c:rich>
          </c:tx>
          <c:layout>
            <c:manualLayout>
              <c:xMode val="edge"/>
              <c:yMode val="edge"/>
              <c:x val="0.42908586659575848"/>
              <c:y val="0.866555431730595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  <c:min val="15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Thousand metric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tons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132848778519E-3"/>
              <c:y val="0.14821367917245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valAx>
        <c:axId val="1641959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Dollars per ton</a:t>
                </a:r>
              </a:p>
            </c:rich>
          </c:tx>
          <c:layout>
            <c:manualLayout>
              <c:xMode val="edge"/>
              <c:yMode val="edge"/>
              <c:x val="0.86213675213675212"/>
              <c:y val="0.14240003087849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41957823"/>
        <c:crosses val="max"/>
        <c:crossBetween val="between"/>
      </c:valAx>
      <c:catAx>
        <c:axId val="16419578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419592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085470085470084E-2"/>
          <c:y val="9.7271885132005548E-2"/>
          <c:w val="0.9"/>
          <c:h val="5.2122639081879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585046</xdr:colOff>
      <xdr:row>0</xdr:row>
      <xdr:rowOff>16934</xdr:rowOff>
    </xdr:from>
    <xdr:to>
      <xdr:col>17</xdr:col>
      <xdr:colOff>287867</xdr:colOff>
      <xdr:row>23</xdr:row>
      <xdr:rowOff>154517</xdr:rowOff>
    </xdr:to>
    <xdr:graphicFrame macro="">
      <xdr:nvGraphicFramePr>
        <xdr:cNvPr id="206" name="Chart 4">
          <a:extLst>
            <a:ext uri="{FF2B5EF4-FFF2-40B4-BE49-F238E27FC236}">
              <a16:creationId xmlns:a16="http://schemas.microsoft.com/office/drawing/2014/main" id="{836CFA7E-D32B-43D1-B249-52E8AE286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0.88347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735917"/>
          <a:ext cx="8366338" cy="492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FOB: Free On Board. YTD = Year to date.</a:t>
          </a:r>
        </a:p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Marketing year average prices are averages of daily quotes on an October through September basis.</a:t>
          </a:r>
          <a:endParaRPr lang="en-US" sz="9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International Grains Council.</a:t>
          </a:r>
          <a:endParaRPr lang="en-US" sz="105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546103</xdr:colOff>
      <xdr:row>0</xdr:row>
      <xdr:rowOff>0</xdr:rowOff>
    </xdr:from>
    <xdr:to>
      <xdr:col>16</xdr:col>
      <xdr:colOff>232307</xdr:colOff>
      <xdr:row>25</xdr:row>
      <xdr:rowOff>41804</xdr:rowOff>
    </xdr:to>
    <xdr:graphicFrame macro="">
      <xdr:nvGraphicFramePr>
        <xdr:cNvPr id="19" name="Chart 4">
          <a:extLst>
            <a:ext uri="{FF2B5EF4-FFF2-40B4-BE49-F238E27FC236}">
              <a16:creationId xmlns:a16="http://schemas.microsoft.com/office/drawing/2014/main" id="{8C14B694-2482-483A-A0E4-0A344321E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0.87917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623205"/>
          <a:ext cx="6070599" cy="4979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FOB = Free On Board.</a:t>
          </a:r>
          <a:endParaRPr lang="en-US" sz="9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data from USDA, Foreign Agricultural Service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Production, Supply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database; and International Grains Council.</a:t>
          </a:r>
          <a:endParaRPr lang="en-US" sz="105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/>
  </sheetViews>
  <sheetFormatPr defaultColWidth="9.5703125" defaultRowHeight="14.25"/>
  <cols>
    <col min="1" max="1" width="166.7109375" style="12" customWidth="1"/>
    <col min="2" max="16384" width="9.5703125" style="1"/>
  </cols>
  <sheetData>
    <row r="1" spans="1:3">
      <c r="B1" s="82"/>
      <c r="C1" s="82"/>
    </row>
    <row r="2" spans="1:3" s="2" customFormat="1" ht="15">
      <c r="A2" s="7" t="s">
        <v>0</v>
      </c>
    </row>
    <row r="3" spans="1:3">
      <c r="A3" s="8"/>
      <c r="B3" s="3"/>
      <c r="C3" s="2"/>
    </row>
    <row r="4" spans="1:3">
      <c r="A4" s="10" t="s">
        <v>1</v>
      </c>
      <c r="B4" s="4"/>
      <c r="C4" s="82"/>
    </row>
    <row r="5" spans="1:3">
      <c r="A5" s="10" t="s">
        <v>2</v>
      </c>
      <c r="B5" s="4"/>
      <c r="C5" s="82"/>
    </row>
    <row r="6" spans="1:3">
      <c r="A6" s="10" t="s">
        <v>3</v>
      </c>
      <c r="B6" s="4"/>
      <c r="C6" s="82"/>
    </row>
    <row r="7" spans="1:3">
      <c r="A7" s="10" t="s">
        <v>4</v>
      </c>
      <c r="B7" s="4"/>
      <c r="C7" s="82"/>
    </row>
    <row r="8" spans="1:3">
      <c r="A8" s="10" t="s">
        <v>5</v>
      </c>
      <c r="B8" s="4"/>
      <c r="C8" s="82"/>
    </row>
    <row r="9" spans="1:3">
      <c r="A9" s="10" t="s">
        <v>6</v>
      </c>
      <c r="B9" s="4"/>
      <c r="C9" s="82"/>
    </row>
    <row r="10" spans="1:3">
      <c r="A10" s="10" t="s">
        <v>7</v>
      </c>
      <c r="B10" s="4"/>
      <c r="C10" s="82"/>
    </row>
    <row r="11" spans="1:3">
      <c r="A11" s="10" t="s">
        <v>8</v>
      </c>
      <c r="B11" s="4"/>
      <c r="C11" s="82"/>
    </row>
    <row r="12" spans="1:3">
      <c r="A12" s="10" t="s">
        <v>9</v>
      </c>
      <c r="B12" s="4"/>
      <c r="C12" s="82"/>
    </row>
    <row r="13" spans="1:3">
      <c r="A13" s="10" t="s">
        <v>10</v>
      </c>
      <c r="B13" s="4"/>
      <c r="C13" s="82"/>
    </row>
    <row r="14" spans="1:3">
      <c r="A14" s="11" t="s">
        <v>11</v>
      </c>
      <c r="B14" s="4"/>
      <c r="C14" s="82"/>
    </row>
    <row r="15" spans="1:3">
      <c r="A15" s="11" t="s">
        <v>12</v>
      </c>
      <c r="B15" s="82"/>
      <c r="C15" s="82"/>
    </row>
    <row r="16" spans="1:3" ht="12.75">
      <c r="A16" s="82"/>
      <c r="B16" s="82"/>
      <c r="C16" s="82"/>
    </row>
    <row r="17" spans="1:3" ht="15">
      <c r="A17" s="7" t="s">
        <v>13</v>
      </c>
      <c r="B17" s="82"/>
      <c r="C17" s="82"/>
    </row>
    <row r="18" spans="1:3" ht="15">
      <c r="A18" s="9">
        <v>45729</v>
      </c>
    </row>
  </sheetData>
  <hyperlinks>
    <hyperlink ref="A4" location="'Table 1'!A1" display="Table 1--Soybeans:  Annual U.S. supply and disappearance" xr:uid="{00000000-0004-0000-0000-000000000000}"/>
    <hyperlink ref="A5" location="'Table 2'!A1" display="Table 2--Soybean meal:  U.S. supply and disappearance" xr:uid="{00000000-0004-0000-0000-000001000000}"/>
    <hyperlink ref="A6" location="'Table 3'!A1" display="Table 3--Soybean oil:  U.S. supply and disappearance" xr:uid="{00000000-0004-0000-0000-000002000000}"/>
    <hyperlink ref="A7" location="'Tables 4-7'!A1" display="Table 4--Cottonseed:  U.S. supply and disappearance" xr:uid="{00000000-0004-0000-0000-000003000000}"/>
    <hyperlink ref="A8" location="'Tables 4-7'!A1" display="Table 5--Cottonseed meal:  U.S. supply and disappearance" xr:uid="{00000000-0004-0000-0000-000004000000}"/>
    <hyperlink ref="A9" location="'Tables 4-7'!A1" display="Table 6--Cottonseed oil:  U.S. supply and disappearance" xr:uid="{00000000-0004-0000-0000-000005000000}"/>
    <hyperlink ref="A10" location="'Tables 4-7'!A1" display="Table 7--Peanuts:  U.S. supply and disappearance" xr:uid="{00000000-0004-0000-0000-000006000000}"/>
    <hyperlink ref="A11" location="'Table 8'!A1" display="Table 8--Oilseed prices received by U.S. farmers" xr:uid="{00000000-0004-0000-0000-000007000000}"/>
    <hyperlink ref="A12" location="'Table 9'!A1" display="Table 9--U.S. vegetable oil and fats prices" xr:uid="{00000000-0004-0000-0000-000008000000}"/>
    <hyperlink ref="A13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8211E-6BC7-4342-9DD4-291563135943}">
  <dimension ref="A1:E22"/>
  <sheetViews>
    <sheetView zoomScale="90" zoomScaleNormal="90" workbookViewId="0"/>
  </sheetViews>
  <sheetFormatPr defaultColWidth="9.140625" defaultRowHeight="12.75"/>
  <cols>
    <col min="1" max="1" width="9.140625" style="156"/>
    <col min="2" max="2" width="10.28515625" style="156" customWidth="1"/>
    <col min="3" max="3" width="8" style="156" customWidth="1"/>
    <col min="4" max="4" width="9.140625" style="156"/>
    <col min="5" max="5" width="9.7109375" style="156" customWidth="1"/>
    <col min="6" max="16384" width="9.140625" style="156"/>
  </cols>
  <sheetData>
    <row r="1" spans="1:5" ht="51">
      <c r="A1" s="154" t="s">
        <v>160</v>
      </c>
      <c r="B1" s="155" t="s">
        <v>161</v>
      </c>
      <c r="C1" s="155" t="s">
        <v>168</v>
      </c>
      <c r="D1" s="155" t="s">
        <v>162</v>
      </c>
      <c r="E1" s="155" t="s">
        <v>163</v>
      </c>
    </row>
    <row r="2" spans="1:5">
      <c r="A2" s="156" t="s">
        <v>114</v>
      </c>
      <c r="B2" s="158">
        <v>386.7478205972771</v>
      </c>
      <c r="C2" s="158">
        <v>422.68620750988134</v>
      </c>
      <c r="D2" s="158">
        <v>202480</v>
      </c>
      <c r="E2" s="155"/>
    </row>
    <row r="3" spans="1:5">
      <c r="A3" t="s">
        <v>115</v>
      </c>
      <c r="B3" s="158">
        <v>348.07392245435722</v>
      </c>
      <c r="C3" s="158">
        <v>369.07398386034259</v>
      </c>
      <c r="D3" s="158">
        <v>213753</v>
      </c>
      <c r="E3" s="158">
        <f>(D3-D2)/D2*100</f>
        <v>5.5674634531805607</v>
      </c>
    </row>
    <row r="4" spans="1:5">
      <c r="A4" t="s">
        <v>116</v>
      </c>
      <c r="B4" s="158">
        <v>326.25167199949811</v>
      </c>
      <c r="C4" s="158">
        <v>350.17843478260869</v>
      </c>
      <c r="D4" s="158">
        <v>222268</v>
      </c>
      <c r="E4" s="158">
        <f t="shared" ref="E4:E12" si="0">(D4-D3)/D3*100</f>
        <v>3.9835698212422748</v>
      </c>
    </row>
    <row r="5" spans="1:5">
      <c r="A5" t="s">
        <v>117</v>
      </c>
      <c r="B5" s="158">
        <v>372.61264632265778</v>
      </c>
      <c r="C5" s="158">
        <v>391.47184431269216</v>
      </c>
      <c r="D5" s="158">
        <v>228925</v>
      </c>
      <c r="E5" s="158">
        <f t="shared" si="0"/>
        <v>2.9950330231972213</v>
      </c>
    </row>
    <row r="6" spans="1:5">
      <c r="A6" t="s">
        <v>118</v>
      </c>
      <c r="B6" s="158">
        <v>321.10028571098366</v>
      </c>
      <c r="C6" s="158">
        <v>343.97789190037014</v>
      </c>
      <c r="D6" s="158">
        <v>230486</v>
      </c>
      <c r="E6" s="158">
        <f t="shared" si="0"/>
        <v>0.68188271267882494</v>
      </c>
    </row>
    <row r="7" spans="1:5">
      <c r="A7" t="s">
        <v>119</v>
      </c>
      <c r="B7" s="158">
        <v>331.32706411945543</v>
      </c>
      <c r="C7" s="158">
        <v>345.21994976159112</v>
      </c>
      <c r="D7" s="158">
        <v>240417</v>
      </c>
      <c r="E7" s="158">
        <f t="shared" si="0"/>
        <v>4.308721570941402</v>
      </c>
    </row>
    <row r="8" spans="1:5">
      <c r="A8" t="s">
        <v>120</v>
      </c>
      <c r="B8" s="158">
        <v>438.50615942028986</v>
      </c>
      <c r="C8" s="158">
        <v>461.93081840924765</v>
      </c>
      <c r="D8" s="158">
        <v>245753</v>
      </c>
      <c r="E8" s="158">
        <f t="shared" si="0"/>
        <v>2.2194769920596298</v>
      </c>
    </row>
    <row r="9" spans="1:5">
      <c r="A9" t="s">
        <v>121</v>
      </c>
      <c r="B9" s="158">
        <v>470.13797838634792</v>
      </c>
      <c r="C9" s="158">
        <v>510.71031494290736</v>
      </c>
      <c r="D9" s="158">
        <v>245995</v>
      </c>
      <c r="E9" s="158">
        <f t="shared" si="0"/>
        <v>9.8472856892896518E-2</v>
      </c>
    </row>
    <row r="10" spans="1:5">
      <c r="A10" t="s">
        <v>35</v>
      </c>
      <c r="B10" s="158">
        <v>510.83246517974789</v>
      </c>
      <c r="C10" s="158">
        <v>521.41590105244984</v>
      </c>
      <c r="D10" s="158">
        <v>247324</v>
      </c>
      <c r="E10" s="158">
        <f t="shared" si="0"/>
        <v>0.5402548832293339</v>
      </c>
    </row>
    <row r="11" spans="1:5">
      <c r="A11" t="s">
        <v>53</v>
      </c>
      <c r="B11" s="158">
        <v>424.07250768555122</v>
      </c>
      <c r="C11" s="158">
        <v>442.68579372921772</v>
      </c>
      <c r="D11" s="158">
        <v>254306</v>
      </c>
      <c r="E11" s="158">
        <f t="shared" si="0"/>
        <v>2.8230175801782278</v>
      </c>
    </row>
    <row r="12" spans="1:5">
      <c r="A12" t="s">
        <v>158</v>
      </c>
      <c r="B12" s="158">
        <v>333.84514241796848</v>
      </c>
      <c r="C12" s="158">
        <v>352.31243608444692</v>
      </c>
      <c r="D12" s="158">
        <v>270395</v>
      </c>
      <c r="E12" s="158">
        <f t="shared" si="0"/>
        <v>6.3266301227654882</v>
      </c>
    </row>
    <row r="13" spans="1:5">
      <c r="A13" s="157"/>
      <c r="B13" s="158"/>
      <c r="C13" s="158"/>
      <c r="D13" s="158"/>
      <c r="E13" s="158"/>
    </row>
    <row r="14" spans="1:5">
      <c r="A14" s="157"/>
      <c r="B14" s="158"/>
      <c r="C14" s="158"/>
      <c r="D14" s="158"/>
      <c r="E14" s="158"/>
    </row>
    <row r="15" spans="1:5">
      <c r="A15" s="157"/>
      <c r="B15" s="158"/>
      <c r="C15" s="158"/>
      <c r="D15" s="158"/>
      <c r="E15" s="158"/>
    </row>
    <row r="16" spans="1:5">
      <c r="A16" s="157"/>
      <c r="B16" s="158"/>
      <c r="C16" s="158"/>
      <c r="D16" s="158"/>
      <c r="E16" s="158"/>
    </row>
    <row r="17" spans="1:5">
      <c r="A17" s="157"/>
      <c r="B17" s="158"/>
      <c r="C17" s="158"/>
      <c r="D17" s="158"/>
      <c r="E17" s="158"/>
    </row>
    <row r="18" spans="1:5">
      <c r="A18" s="157"/>
      <c r="B18" s="158"/>
      <c r="C18" s="158"/>
      <c r="D18" s="158"/>
      <c r="E18" s="158"/>
    </row>
    <row r="19" spans="1:5">
      <c r="A19" s="157"/>
      <c r="B19" s="158"/>
      <c r="C19" s="158"/>
      <c r="D19" s="158"/>
      <c r="E19" s="158"/>
    </row>
    <row r="20" spans="1:5">
      <c r="A20" s="157"/>
      <c r="B20" s="158"/>
      <c r="C20" s="158"/>
      <c r="D20" s="158"/>
      <c r="E20" s="158"/>
    </row>
    <row r="21" spans="1:5">
      <c r="A21" s="157"/>
      <c r="B21" s="158"/>
      <c r="C21" s="158"/>
      <c r="D21" s="158"/>
      <c r="E21" s="158"/>
    </row>
    <row r="22" spans="1:5">
      <c r="A22" s="159"/>
      <c r="B22" s="158"/>
      <c r="C22" s="158"/>
      <c r="D22" s="158"/>
      <c r="E22" s="15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1"/>
  <sheetViews>
    <sheetView showGridLines="0" zoomScale="70" zoomScaleNormal="70" workbookViewId="0"/>
  </sheetViews>
  <sheetFormatPr defaultColWidth="9.28515625" defaultRowHeight="12.75"/>
  <cols>
    <col min="1" max="1" width="21.5703125" customWidth="1"/>
    <col min="2" max="2" width="14.28515625" customWidth="1"/>
    <col min="3" max="3" width="9.5703125" customWidth="1"/>
    <col min="4" max="4" width="26.5703125" customWidth="1"/>
    <col min="5" max="5" width="9.5703125" customWidth="1"/>
    <col min="6" max="6" width="12.42578125" customWidth="1"/>
    <col min="7" max="7" width="19.7109375" customWidth="1"/>
    <col min="8" max="8" width="18.7109375" customWidth="1"/>
    <col min="9" max="9" width="1.5703125" customWidth="1"/>
    <col min="10" max="10" width="14.5703125" customWidth="1"/>
    <col min="11" max="11" width="10.5703125" customWidth="1"/>
    <col min="12" max="12" width="12.85546875" customWidth="1"/>
    <col min="13" max="13" width="14.140625" customWidth="1"/>
    <col min="14" max="14" width="9.5703125" customWidth="1"/>
    <col min="15" max="15" width="11.85546875" bestFit="1" customWidth="1"/>
    <col min="17" max="17" width="15.42578125" bestFit="1" customWidth="1"/>
    <col min="18" max="18" width="13.42578125" bestFit="1" customWidth="1"/>
    <col min="22" max="22" width="12.28515625" customWidth="1"/>
    <col min="24" max="24" width="10.42578125" bestFit="1" customWidth="1"/>
  </cols>
  <sheetData>
    <row r="1" spans="1:23" ht="14.25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4.25">
      <c r="A2" s="15"/>
      <c r="B2" s="16" t="s">
        <v>14</v>
      </c>
      <c r="C2" s="134"/>
      <c r="D2" s="17" t="s">
        <v>15</v>
      </c>
      <c r="E2" s="18"/>
      <c r="F2" s="134" t="s">
        <v>16</v>
      </c>
      <c r="G2" s="134"/>
      <c r="H2" s="134"/>
      <c r="I2" s="15"/>
      <c r="J2" s="18"/>
      <c r="K2" s="134"/>
      <c r="L2" s="19" t="s">
        <v>17</v>
      </c>
      <c r="M2" s="134"/>
      <c r="N2" s="15"/>
    </row>
    <row r="3" spans="1:23" ht="14.25">
      <c r="A3" s="15" t="s">
        <v>18</v>
      </c>
      <c r="B3" s="17" t="s">
        <v>19</v>
      </c>
      <c r="C3" s="15" t="s">
        <v>20</v>
      </c>
      <c r="D3" s="17"/>
      <c r="E3" s="20" t="s">
        <v>21</v>
      </c>
      <c r="F3" s="20"/>
      <c r="G3" s="20"/>
      <c r="H3" s="20"/>
      <c r="I3" s="20"/>
      <c r="J3" s="17" t="s">
        <v>22</v>
      </c>
      <c r="K3" s="20" t="s">
        <v>23</v>
      </c>
      <c r="L3" s="20"/>
      <c r="M3" s="20"/>
      <c r="N3" s="20" t="s">
        <v>24</v>
      </c>
    </row>
    <row r="4" spans="1:23" ht="14.25">
      <c r="A4" s="21" t="s">
        <v>25</v>
      </c>
      <c r="B4" s="22"/>
      <c r="C4" s="22"/>
      <c r="D4" s="22"/>
      <c r="E4" s="23" t="s">
        <v>26</v>
      </c>
      <c r="F4" s="23" t="s">
        <v>27</v>
      </c>
      <c r="G4" s="24" t="s">
        <v>28</v>
      </c>
      <c r="H4" s="25" t="s">
        <v>29</v>
      </c>
      <c r="I4" s="24"/>
      <c r="J4" s="24"/>
      <c r="K4" s="24" t="s">
        <v>30</v>
      </c>
      <c r="L4" s="25" t="s">
        <v>31</v>
      </c>
      <c r="M4" s="23" t="s">
        <v>29</v>
      </c>
      <c r="N4" s="24" t="s">
        <v>26</v>
      </c>
      <c r="W4" s="26"/>
    </row>
    <row r="5" spans="1:23" ht="14.25">
      <c r="A5" s="15"/>
      <c r="B5" s="112" t="s">
        <v>32</v>
      </c>
      <c r="C5" s="135"/>
      <c r="D5" s="27" t="s">
        <v>33</v>
      </c>
      <c r="G5" s="112"/>
      <c r="I5" s="112"/>
      <c r="J5" s="112" t="s">
        <v>34</v>
      </c>
      <c r="K5" s="112"/>
      <c r="L5" s="112"/>
      <c r="M5" s="112"/>
      <c r="N5" s="112"/>
      <c r="W5" s="26"/>
    </row>
    <row r="6" spans="1:23" ht="16.5" customHeight="1">
      <c r="A6" s="15" t="s">
        <v>35</v>
      </c>
      <c r="B6" s="115">
        <v>87.45</v>
      </c>
      <c r="C6" s="115">
        <v>86.174000000000007</v>
      </c>
      <c r="D6" s="115">
        <f>F6/C6</f>
        <v>49.555329913895143</v>
      </c>
      <c r="E6" s="116">
        <v>274.39400000000001</v>
      </c>
      <c r="F6" s="117">
        <v>4270.3810000000003</v>
      </c>
      <c r="G6" s="121">
        <f>(667064.2*36.74371)/1000000</f>
        <v>24.510413516181998</v>
      </c>
      <c r="H6" s="118">
        <f>SUM(E6:G6)</f>
        <v>4569.2854135161824</v>
      </c>
      <c r="I6" s="15"/>
      <c r="J6" s="117">
        <f>2211.9378</f>
        <v>2211.9378000000002</v>
      </c>
      <c r="K6" s="117">
        <f>M6-L6-J6</f>
        <v>113.61949603461198</v>
      </c>
      <c r="L6" s="118">
        <f>(53874367*36.74371)/1000000</f>
        <v>1979.5441174815701</v>
      </c>
      <c r="M6" s="118">
        <f>H6-N6</f>
        <v>4305.1014135161822</v>
      </c>
      <c r="N6" s="118">
        <v>264.18400000000003</v>
      </c>
    </row>
    <row r="7" spans="1:23" ht="16.5" customHeight="1">
      <c r="A7" s="15" t="s">
        <v>36</v>
      </c>
      <c r="B7" s="115">
        <v>83.6</v>
      </c>
      <c r="C7" s="115">
        <v>82.271000000000001</v>
      </c>
      <c r="D7" s="115">
        <f>F7/C7</f>
        <v>50.589600223651104</v>
      </c>
      <c r="E7" s="116">
        <f>N6</f>
        <v>264.18400000000003</v>
      </c>
      <c r="F7" s="117">
        <v>4162.0569999999998</v>
      </c>
      <c r="G7" s="118">
        <f>G27</f>
        <v>20.835116574689998</v>
      </c>
      <c r="H7" s="118">
        <f>SUM(E7:G7)</f>
        <v>4447.0761165746899</v>
      </c>
      <c r="I7" s="15"/>
      <c r="J7" s="117">
        <f>J27</f>
        <v>2285.303146537427</v>
      </c>
      <c r="K7" s="117">
        <f>M7-L7-J7</f>
        <v>124.40827608605787</v>
      </c>
      <c r="L7" s="118">
        <f>L27</f>
        <v>1694.931693951205</v>
      </c>
      <c r="M7" s="118">
        <f>H7-N7</f>
        <v>4104.6431165746899</v>
      </c>
      <c r="N7" s="118">
        <f>N26</f>
        <v>342.43299999999999</v>
      </c>
      <c r="P7" s="163"/>
    </row>
    <row r="8" spans="1:23" ht="16.5" customHeight="1">
      <c r="A8" s="15" t="s">
        <v>37</v>
      </c>
      <c r="B8" s="115">
        <v>87.05</v>
      </c>
      <c r="C8" s="115">
        <v>86.05</v>
      </c>
      <c r="D8" s="115">
        <f>F8/C8</f>
        <v>50.743660662405581</v>
      </c>
      <c r="E8" s="116">
        <f>N7</f>
        <v>342.43299999999999</v>
      </c>
      <c r="F8" s="117">
        <v>4366.4920000000002</v>
      </c>
      <c r="G8" s="118">
        <v>20</v>
      </c>
      <c r="H8" s="118">
        <f>SUM(E8:G8)</f>
        <v>4728.9250000000002</v>
      </c>
      <c r="I8" s="15"/>
      <c r="J8" s="117">
        <v>2410</v>
      </c>
      <c r="K8" s="164">
        <v>114</v>
      </c>
      <c r="L8" s="118">
        <v>1825</v>
      </c>
      <c r="M8" s="118">
        <f>SUM(J8:L8)</f>
        <v>4349</v>
      </c>
      <c r="N8" s="118">
        <f>H8-M8</f>
        <v>379.92500000000018</v>
      </c>
      <c r="P8" s="163"/>
      <c r="Q8" s="163"/>
    </row>
    <row r="9" spans="1:23" ht="16.5" customHeight="1">
      <c r="A9" s="15"/>
      <c r="B9" s="15"/>
      <c r="C9" s="15"/>
      <c r="D9" s="15"/>
      <c r="E9" s="28"/>
      <c r="F9" s="28"/>
      <c r="G9" s="29"/>
      <c r="H9" s="28"/>
      <c r="I9" s="28"/>
      <c r="J9" s="29"/>
      <c r="K9" s="29"/>
      <c r="L9" s="29"/>
      <c r="M9" s="29"/>
      <c r="N9" s="29"/>
    </row>
    <row r="10" spans="1:23" ht="16.5" customHeight="1">
      <c r="A10" s="30" t="s">
        <v>53</v>
      </c>
      <c r="B10" s="83"/>
      <c r="C10" s="83"/>
      <c r="D10" s="83"/>
      <c r="E10" s="32"/>
      <c r="F10" s="32"/>
      <c r="G10" s="6"/>
      <c r="H10" s="13"/>
      <c r="I10" s="83"/>
      <c r="J10" s="13"/>
      <c r="K10" s="31"/>
      <c r="L10" s="6"/>
      <c r="M10" s="6"/>
      <c r="N10" s="13"/>
      <c r="R10" s="113"/>
      <c r="S10" s="114"/>
    </row>
    <row r="11" spans="1:23" ht="16.5" customHeight="1">
      <c r="A11" s="15" t="s">
        <v>38</v>
      </c>
      <c r="B11" s="83"/>
      <c r="C11" s="83"/>
      <c r="D11" s="83"/>
      <c r="E11" s="32"/>
      <c r="F11" s="32"/>
      <c r="G11" s="6">
        <f>(37479.5*36.74371)/1000000</f>
        <v>1.3771358789450001</v>
      </c>
      <c r="H11" s="13"/>
      <c r="I11" s="83"/>
      <c r="J11" s="6">
        <f>((5242931*0.907184741)*36.74371)/1000000</f>
        <v>174.76436512731999</v>
      </c>
      <c r="K11" s="31"/>
      <c r="L11" s="6">
        <f>(2498517*36.74371)/1000000</f>
        <v>91.80478407807</v>
      </c>
      <c r="M11" s="6"/>
      <c r="N11" s="13"/>
      <c r="Q11" s="86"/>
      <c r="R11" s="113"/>
      <c r="S11" s="114"/>
    </row>
    <row r="12" spans="1:23" ht="16.5" customHeight="1">
      <c r="A12" s="15" t="s">
        <v>39</v>
      </c>
      <c r="B12" s="83"/>
      <c r="C12" s="83"/>
      <c r="D12" s="83"/>
      <c r="E12" s="32"/>
      <c r="F12" s="32"/>
      <c r="G12" s="6">
        <f>(19292.3*36.74371)/1000000</f>
        <v>0.70887067643300006</v>
      </c>
      <c r="H12" s="13"/>
      <c r="I12" s="83"/>
      <c r="J12" s="6">
        <f>((6041685*0.907184741)*36.74371)/1000000</f>
        <v>201.38949822613577</v>
      </c>
      <c r="K12" s="31"/>
      <c r="L12" s="6">
        <f>(9422340.2*36.74371)/1000000</f>
        <v>346.21173583014195</v>
      </c>
      <c r="M12" s="6"/>
      <c r="N12" s="13"/>
      <c r="Q12" s="86"/>
      <c r="R12" s="113"/>
      <c r="S12" s="114"/>
    </row>
    <row r="13" spans="1:23" ht="16.5" customHeight="1">
      <c r="A13" s="15" t="s">
        <v>40</v>
      </c>
      <c r="B13" s="83"/>
      <c r="C13" s="83"/>
      <c r="D13" s="83"/>
      <c r="E13" s="32"/>
      <c r="F13" s="32"/>
      <c r="G13" s="6">
        <f>(46381*36.74371)/1000000</f>
        <v>1.70421001351</v>
      </c>
      <c r="H13" s="13"/>
      <c r="I13" s="83"/>
      <c r="J13" s="6">
        <f>((6002708*0.907184741)*36.74371)/1000000</f>
        <v>200.09026490424628</v>
      </c>
      <c r="K13" s="31"/>
      <c r="L13" s="6">
        <f>(7462119.8*36.74371)/1000000</f>
        <v>274.18596591645803</v>
      </c>
      <c r="M13" s="6"/>
      <c r="N13" s="106"/>
      <c r="Q13" s="86"/>
      <c r="R13" s="113"/>
      <c r="S13" s="113"/>
    </row>
    <row r="14" spans="1:23" ht="16.5" customHeight="1">
      <c r="A14" s="15" t="s">
        <v>41</v>
      </c>
      <c r="B14" s="83"/>
      <c r="C14" s="83"/>
      <c r="D14" s="83"/>
      <c r="E14" s="32">
        <f>N6</f>
        <v>264.18400000000003</v>
      </c>
      <c r="F14" s="62">
        <v>4162.0569999999998</v>
      </c>
      <c r="G14" s="6">
        <f>SUM(G11:G13)</f>
        <v>3.7902165688880003</v>
      </c>
      <c r="H14" s="13">
        <f>SUM(E14:G14)</f>
        <v>4430.0312165688883</v>
      </c>
      <c r="I14" s="83"/>
      <c r="J14" s="6">
        <f>SUM(J11:J13)</f>
        <v>576.24412825770207</v>
      </c>
      <c r="K14" s="31">
        <f>M14-L14-J14</f>
        <v>140.8656024865162</v>
      </c>
      <c r="L14" s="6">
        <f>SUM(L11:L13)</f>
        <v>712.20248582467002</v>
      </c>
      <c r="M14" s="6">
        <f>H14-N14</f>
        <v>1429.3122165688883</v>
      </c>
      <c r="N14" s="107">
        <v>3000.7190000000001</v>
      </c>
      <c r="R14" s="113"/>
      <c r="S14" s="113"/>
    </row>
    <row r="15" spans="1:23" ht="16.5" customHeight="1">
      <c r="A15" s="15" t="s">
        <v>42</v>
      </c>
      <c r="B15" s="83"/>
      <c r="C15" s="83"/>
      <c r="D15" s="83"/>
      <c r="E15" s="32"/>
      <c r="F15" s="32"/>
      <c r="G15" s="6">
        <f>(18649.8*36.74371)/1000000</f>
        <v>0.68526284275799998</v>
      </c>
      <c r="H15" s="13"/>
      <c r="I15" s="83"/>
      <c r="J15" s="6">
        <f>((6128558*0.907184741)*36.74371)/1000000</f>
        <v>204.28526486729618</v>
      </c>
      <c r="K15" s="31"/>
      <c r="L15" s="6">
        <f>(4738450.9*36.74371)/1000000</f>
        <v>174.10826571883902</v>
      </c>
      <c r="M15" s="6"/>
      <c r="N15" s="107"/>
      <c r="R15" s="113"/>
      <c r="S15" s="113"/>
    </row>
    <row r="16" spans="1:23" ht="16.5" customHeight="1">
      <c r="A16" s="15" t="s">
        <v>43</v>
      </c>
      <c r="B16" s="83"/>
      <c r="C16" s="83"/>
      <c r="D16" s="83"/>
      <c r="E16" s="32"/>
      <c r="F16" s="32"/>
      <c r="G16" s="6">
        <f>(25838.2*36.74371)/1000000</f>
        <v>0.94939132772200008</v>
      </c>
      <c r="H16" s="13"/>
      <c r="I16" s="83"/>
      <c r="J16" s="6">
        <f>((5828390*0.907184741)*36.74371)/1000000</f>
        <v>194.27966495542674</v>
      </c>
      <c r="K16" s="31"/>
      <c r="L16" s="6">
        <f>(5961252*36.74371)/1000000</f>
        <v>219.03851472491999</v>
      </c>
      <c r="M16" s="6"/>
      <c r="N16" s="107"/>
      <c r="Q16" s="34"/>
      <c r="R16" s="113"/>
      <c r="S16" s="113"/>
    </row>
    <row r="17" spans="1:24" ht="16.5" customHeight="1">
      <c r="A17" s="15" t="s">
        <v>44</v>
      </c>
      <c r="B17" s="83"/>
      <c r="C17" s="83"/>
      <c r="D17" s="83"/>
      <c r="E17" s="32"/>
      <c r="F17" s="32"/>
      <c r="G17" s="6">
        <f>(24300.7*36.74371)/1000000</f>
        <v>0.89289787359700001</v>
      </c>
      <c r="H17" s="13"/>
      <c r="I17" s="83"/>
      <c r="J17" s="6">
        <f>((5803253*0.907184741)*36.74371)/1000000</f>
        <v>193.4417649628071</v>
      </c>
      <c r="K17" s="31"/>
      <c r="L17" s="6">
        <f>(5263949.5*36.74371)/1000000</f>
        <v>193.417033882645</v>
      </c>
      <c r="M17" s="6"/>
      <c r="N17" s="107"/>
      <c r="Q17" s="86"/>
      <c r="R17" s="113"/>
      <c r="S17" s="113"/>
    </row>
    <row r="18" spans="1:24" ht="16.5" customHeight="1">
      <c r="A18" s="15" t="s">
        <v>45</v>
      </c>
      <c r="B18" s="83"/>
      <c r="C18" s="83"/>
      <c r="D18" s="83"/>
      <c r="E18" s="32">
        <f>N14</f>
        <v>3000.7190000000001</v>
      </c>
      <c r="F18" s="32"/>
      <c r="G18" s="6">
        <f>SUM(G15:G17)</f>
        <v>2.5275520440770003</v>
      </c>
      <c r="H18" s="13">
        <f>SUM(E18:G18)</f>
        <v>3003.2465520440769</v>
      </c>
      <c r="I18" s="83"/>
      <c r="J18" s="6">
        <f>SUM(J15:J17)</f>
        <v>592.00669478553004</v>
      </c>
      <c r="K18" s="31">
        <f>M18-L18-J18</f>
        <v>-20.402957067857074</v>
      </c>
      <c r="L18" s="6">
        <f>SUM(L15:L17)</f>
        <v>586.56381432640399</v>
      </c>
      <c r="M18" s="6">
        <f>H18-N18</f>
        <v>1158.167552044077</v>
      </c>
      <c r="N18" s="107">
        <v>1845.079</v>
      </c>
      <c r="P18" s="34"/>
      <c r="R18" s="113"/>
      <c r="S18" s="113"/>
    </row>
    <row r="19" spans="1:24" ht="16.5" customHeight="1">
      <c r="A19" s="15" t="s">
        <v>46</v>
      </c>
      <c r="B19" s="83"/>
      <c r="C19" s="83"/>
      <c r="D19" s="83"/>
      <c r="E19" s="32"/>
      <c r="F19" s="32"/>
      <c r="G19" s="6">
        <f>(144280.7*36.74371)/1000000</f>
        <v>5.3014081993970006</v>
      </c>
      <c r="H19" s="13"/>
      <c r="I19" s="83"/>
      <c r="J19" s="6">
        <f>((6106056*0.907184741)*36.74371)/1000000</f>
        <v>203.53519820723619</v>
      </c>
      <c r="K19" s="31"/>
      <c r="L19" s="6">
        <f>(3054246.9*36.74371)/1000000</f>
        <v>112.22436236199898</v>
      </c>
      <c r="M19" s="6"/>
      <c r="N19" s="107"/>
      <c r="Q19" s="86"/>
      <c r="R19" s="113"/>
      <c r="S19" s="113"/>
    </row>
    <row r="20" spans="1:24" ht="16.5" customHeight="1">
      <c r="A20" s="15" t="s">
        <v>47</v>
      </c>
      <c r="B20" s="83"/>
      <c r="C20" s="83"/>
      <c r="D20" s="83"/>
      <c r="E20" s="32"/>
      <c r="F20" s="32"/>
      <c r="G20" s="6">
        <f>(57199.7*36.74371)/1000000</f>
        <v>2.101729188887</v>
      </c>
      <c r="H20" s="13"/>
      <c r="I20" s="83"/>
      <c r="J20" s="6">
        <f>((5327076*0.907184741)*36.74371)/1000000</f>
        <v>177.56919843594798</v>
      </c>
      <c r="K20" s="31"/>
      <c r="L20" s="6">
        <f>(1769751.6*36.74371)/1000000</f>
        <v>65.027239562436009</v>
      </c>
      <c r="M20" s="6"/>
      <c r="N20" s="107"/>
      <c r="R20" s="113"/>
      <c r="S20" s="113"/>
    </row>
    <row r="21" spans="1:24" ht="16.5" customHeight="1">
      <c r="A21" s="15" t="s">
        <v>48</v>
      </c>
      <c r="B21" s="83"/>
      <c r="C21" s="83"/>
      <c r="D21" s="83"/>
      <c r="E21" s="32"/>
      <c r="F21" s="32"/>
      <c r="G21" s="6">
        <f>(32603.2*36.74371)/1000000</f>
        <v>1.1979625258719999</v>
      </c>
      <c r="H21" s="13"/>
      <c r="I21" s="83"/>
      <c r="J21" s="6">
        <f>((5748779*0.907184741)*36.74371)/1000000</f>
        <v>191.62596497880088</v>
      </c>
      <c r="K21" s="31"/>
      <c r="L21" s="6">
        <f>(1410073.2*36.74371)/1000000</f>
        <v>51.811320739571997</v>
      </c>
      <c r="M21" s="6"/>
      <c r="N21" s="107"/>
      <c r="P21" s="83"/>
      <c r="Q21" s="86"/>
      <c r="R21" s="113"/>
      <c r="S21" s="113"/>
    </row>
    <row r="22" spans="1:24" ht="16.5" customHeight="1">
      <c r="A22" s="15" t="s">
        <v>54</v>
      </c>
      <c r="B22" s="83"/>
      <c r="C22" s="83"/>
      <c r="D22" s="83"/>
      <c r="E22" s="32">
        <f>N18</f>
        <v>1845.079</v>
      </c>
      <c r="F22" s="32"/>
      <c r="G22" s="6">
        <f>SUM(G19:G21)</f>
        <v>8.6010999141560003</v>
      </c>
      <c r="H22" s="13">
        <f>SUM(E22:G22)</f>
        <v>1853.680099914156</v>
      </c>
      <c r="I22" s="83"/>
      <c r="J22" s="6">
        <f>SUM(J19:J21)</f>
        <v>572.73036162198503</v>
      </c>
      <c r="K22" s="13">
        <f>M22-L22-J22</f>
        <v>81.836815628164118</v>
      </c>
      <c r="L22" s="6">
        <f>SUM(L19:L21)</f>
        <v>229.06292266400698</v>
      </c>
      <c r="M22" s="6">
        <f>H22-N22</f>
        <v>883.63009991415606</v>
      </c>
      <c r="N22" s="13">
        <v>970.05</v>
      </c>
      <c r="P22" s="83"/>
    </row>
    <row r="23" spans="1:24" ht="16.5" customHeight="1">
      <c r="A23" s="15" t="s">
        <v>49</v>
      </c>
      <c r="B23" s="83"/>
      <c r="C23" s="83"/>
      <c r="D23" s="83"/>
      <c r="E23" s="32"/>
      <c r="F23" s="32"/>
      <c r="G23" s="6">
        <f>(31221.6*36.74371)/1000000</f>
        <v>1.1471974161359999</v>
      </c>
      <c r="H23" s="13"/>
      <c r="I23" s="83"/>
      <c r="J23" s="6">
        <f>((5504777*0.907184741)*36.74371)/1000000</f>
        <v>183.49256505044087</v>
      </c>
      <c r="K23" s="13"/>
      <c r="L23" s="6">
        <f>(1338976.8*36.74371)/1000000</f>
        <v>49.198975235927996</v>
      </c>
      <c r="M23" s="6"/>
      <c r="N23" s="13"/>
    </row>
    <row r="24" spans="1:24" ht="16.5" customHeight="1">
      <c r="A24" s="15" t="s">
        <v>50</v>
      </c>
      <c r="B24" s="83"/>
      <c r="C24" s="83"/>
      <c r="D24" s="83"/>
      <c r="E24" s="32"/>
      <c r="F24" s="32"/>
      <c r="G24" s="6">
        <f>(59884.6*36.74371)/1000000</f>
        <v>2.2003823758659999</v>
      </c>
      <c r="H24" s="13"/>
      <c r="I24" s="83"/>
      <c r="J24" s="6">
        <f>((5798234*0.907184741)*36.74371)/1000000</f>
        <v>193.2744649642807</v>
      </c>
      <c r="K24" s="13"/>
      <c r="L24" s="6">
        <f>(1494549.2*36.74371)/1000000</f>
        <v>54.915282385532002</v>
      </c>
      <c r="M24" s="6"/>
      <c r="N24" s="13"/>
      <c r="Q24" s="86"/>
    </row>
    <row r="25" spans="1:24" ht="16.5" customHeight="1">
      <c r="A25" s="15" t="s">
        <v>51</v>
      </c>
      <c r="B25" s="83"/>
      <c r="C25" s="83"/>
      <c r="D25" s="83"/>
      <c r="E25" s="32"/>
      <c r="F25" s="32"/>
      <c r="G25" s="6">
        <f>(69907.6*36.74371)/1000000</f>
        <v>2.5686645811960003</v>
      </c>
      <c r="H25" s="13"/>
      <c r="I25" s="83"/>
      <c r="J25" s="6">
        <f>((5026648*0.907184741)*36.74371)/1000000</f>
        <v>167.55493185748824</v>
      </c>
      <c r="K25" s="13"/>
      <c r="L25" s="6">
        <f>(1714258.5*36.74371)/1000000</f>
        <v>62.988217189034998</v>
      </c>
      <c r="M25" s="6"/>
      <c r="N25" s="13"/>
    </row>
    <row r="26" spans="1:24" ht="16.5" customHeight="1">
      <c r="A26" s="15" t="s">
        <v>52</v>
      </c>
      <c r="B26" s="83"/>
      <c r="C26" s="83"/>
      <c r="D26" s="83"/>
      <c r="E26" s="32">
        <f>N22</f>
        <v>970.05</v>
      </c>
      <c r="F26" s="32"/>
      <c r="G26" s="6">
        <f>SUM(G23:G25)</f>
        <v>5.9162443731979995</v>
      </c>
      <c r="H26" s="13">
        <f>SUM(E26:G26)</f>
        <v>975.96624437319792</v>
      </c>
      <c r="I26" s="83"/>
      <c r="J26" s="6">
        <f>SUM(J23:J25)</f>
        <v>544.32196187220984</v>
      </c>
      <c r="K26" s="31">
        <f>M26-J26-L26</f>
        <v>-77.891192309506891</v>
      </c>
      <c r="L26" s="6">
        <f>SUM(L23:L25)</f>
        <v>167.10247481049498</v>
      </c>
      <c r="M26" s="6">
        <f>H26-N26</f>
        <v>633.53324437319793</v>
      </c>
      <c r="N26" s="99">
        <v>342.43299999999999</v>
      </c>
      <c r="Q26" s="132"/>
    </row>
    <row r="27" spans="1:24" ht="16.5" customHeight="1">
      <c r="A27" s="15" t="s">
        <v>29</v>
      </c>
      <c r="B27" s="83"/>
      <c r="C27" s="83"/>
      <c r="D27" s="83"/>
      <c r="E27" s="32"/>
      <c r="F27" s="32"/>
      <c r="G27" s="133">
        <f>(567039*36.74371)/1000000</f>
        <v>20.835116574689998</v>
      </c>
      <c r="H27" s="93"/>
      <c r="I27" s="94"/>
      <c r="J27" s="118">
        <f>SUM(J14,J18,J22,J26)</f>
        <v>2285.303146537427</v>
      </c>
      <c r="K27" s="6"/>
      <c r="L27" s="165">
        <f>(46128.4855*36.74371)/1000</f>
        <v>1694.931693951205</v>
      </c>
      <c r="M27" s="6"/>
      <c r="N27" s="13"/>
      <c r="Q27" s="86"/>
    </row>
    <row r="28" spans="1:24" ht="16.5" customHeight="1">
      <c r="A28" s="15"/>
      <c r="B28" s="83"/>
      <c r="C28" s="83"/>
      <c r="D28" s="83"/>
      <c r="E28" s="32"/>
      <c r="F28" s="32"/>
      <c r="G28" s="6"/>
      <c r="H28" s="13"/>
      <c r="I28" s="83"/>
      <c r="J28" s="166"/>
      <c r="K28" s="31"/>
      <c r="L28" s="6"/>
      <c r="M28" s="6"/>
      <c r="N28" s="13"/>
      <c r="R28" s="83"/>
    </row>
    <row r="29" spans="1:24" ht="16.5" customHeight="1">
      <c r="A29" s="30" t="s">
        <v>158</v>
      </c>
      <c r="B29" s="83"/>
      <c r="C29" s="83"/>
      <c r="D29" s="83"/>
      <c r="E29" s="32"/>
      <c r="F29" s="32"/>
      <c r="G29" s="6"/>
      <c r="H29" s="13"/>
      <c r="I29" s="83"/>
      <c r="J29" s="13"/>
      <c r="K29" s="31"/>
      <c r="L29" s="6"/>
      <c r="M29" s="6"/>
      <c r="N29" s="13"/>
      <c r="Q29" s="83"/>
      <c r="V29" s="96"/>
      <c r="X29" s="97"/>
    </row>
    <row r="30" spans="1:24" ht="16.5" customHeight="1">
      <c r="A30" s="15" t="s">
        <v>38</v>
      </c>
      <c r="B30" s="83"/>
      <c r="C30" s="83"/>
      <c r="D30" s="83"/>
      <c r="E30" s="32"/>
      <c r="F30" s="32"/>
      <c r="G30" s="6">
        <f>(83703.7*36.74371)/1000000</f>
        <v>3.0755844787269999</v>
      </c>
      <c r="H30" s="13"/>
      <c r="I30" s="83"/>
      <c r="J30" s="6">
        <f>((5595095*0.907185)*36.74371)/1000000</f>
        <v>186.5032182703211</v>
      </c>
      <c r="K30" s="31"/>
      <c r="L30" s="6">
        <f>(2977475.4*36.74371)/1000000</f>
        <v>109.40349262973399</v>
      </c>
      <c r="M30" s="6"/>
      <c r="N30" s="13"/>
      <c r="T30" s="95"/>
    </row>
    <row r="31" spans="1:24" s="138" customFormat="1" ht="16.5" customHeight="1">
      <c r="A31" s="130" t="s">
        <v>39</v>
      </c>
      <c r="B31" s="139"/>
      <c r="C31" s="139"/>
      <c r="D31" s="139"/>
      <c r="E31" s="140"/>
      <c r="F31" s="140"/>
      <c r="G31" s="105">
        <f>(21164.7*36.74371)/1000000</f>
        <v>0.77766959903699995</v>
      </c>
      <c r="H31" s="141"/>
      <c r="I31" s="139"/>
      <c r="J31" s="6">
        <f>((6473504*0.907185)*36.74371)/1000000</f>
        <v>215.78352637190193</v>
      </c>
      <c r="K31" s="142"/>
      <c r="L31" s="105">
        <f>(9426929.5*36.74371)/1000000</f>
        <v>346.380363738445</v>
      </c>
      <c r="M31" s="105"/>
      <c r="N31" s="141"/>
      <c r="T31" s="143"/>
    </row>
    <row r="32" spans="1:24" ht="16.5" customHeight="1">
      <c r="A32" s="15" t="s">
        <v>40</v>
      </c>
      <c r="B32" s="83"/>
      <c r="C32" s="83"/>
      <c r="D32" s="83"/>
      <c r="E32" s="32"/>
      <c r="F32" s="32"/>
      <c r="G32" s="102">
        <f>(41373.8*36.74371)/1000000</f>
        <v>1.520226908798</v>
      </c>
      <c r="H32" s="13"/>
      <c r="I32" s="83"/>
      <c r="J32" s="6">
        <f>((6301225*0.907185)*36.74371)/1000000</f>
        <v>210.04089144963655</v>
      </c>
      <c r="K32" s="31"/>
      <c r="L32" s="102">
        <f>((10024672.7)*36.74371)/1000000</f>
        <v>368.343666533717</v>
      </c>
      <c r="M32" s="6"/>
      <c r="N32" s="13"/>
      <c r="T32" s="95"/>
    </row>
    <row r="33" spans="1:20" ht="16.5" customHeight="1">
      <c r="A33" s="15" t="s">
        <v>41</v>
      </c>
      <c r="B33" s="83"/>
      <c r="C33" s="83"/>
      <c r="D33" s="83"/>
      <c r="E33" s="32">
        <f>N26</f>
        <v>342.43299999999999</v>
      </c>
      <c r="F33" s="62">
        <v>4366.4920000000002</v>
      </c>
      <c r="G33" s="6">
        <f>SUM(G30:G32)</f>
        <v>5.3734809865619999</v>
      </c>
      <c r="H33" s="13">
        <f>SUM(E33:G33)</f>
        <v>4714.298480986562</v>
      </c>
      <c r="I33" s="83"/>
      <c r="J33" s="6">
        <f>SUM(J30:J32)</f>
        <v>612.32763609185963</v>
      </c>
      <c r="K33" s="31">
        <f>M33-L33-J33</f>
        <v>178.10032199280647</v>
      </c>
      <c r="L33" s="6">
        <f>SUM(L30:L32)</f>
        <v>824.12752290189599</v>
      </c>
      <c r="M33" s="6">
        <f>H33-N33</f>
        <v>1614.5554809865621</v>
      </c>
      <c r="N33" s="107">
        <v>3099.7429999999999</v>
      </c>
      <c r="P33" s="34"/>
      <c r="R33" s="113"/>
      <c r="S33" s="113"/>
    </row>
    <row r="34" spans="1:20" ht="16.5" customHeight="1">
      <c r="A34" s="15" t="s">
        <v>42</v>
      </c>
      <c r="B34" s="83"/>
      <c r="C34" s="83"/>
      <c r="D34" s="83"/>
      <c r="E34" s="32"/>
      <c r="F34" s="62"/>
      <c r="G34" s="102">
        <f>(52301.5*36.74371)/1000000</f>
        <v>1.9217511485649998</v>
      </c>
      <c r="H34" s="13"/>
      <c r="I34" s="83"/>
      <c r="J34" s="6">
        <f>((6531043*0.907185)*36.74371)/1000000</f>
        <v>217.70149356925177</v>
      </c>
      <c r="K34" s="31"/>
      <c r="L34" s="102">
        <f>(7962483.8*36.74371)/1000000</f>
        <v>292.57119562689797</v>
      </c>
      <c r="M34" s="6"/>
      <c r="N34" s="107"/>
      <c r="P34" s="34"/>
      <c r="R34" s="113"/>
      <c r="S34" s="113"/>
    </row>
    <row r="35" spans="1:20" ht="16.5" customHeight="1">
      <c r="A35" s="15" t="s">
        <v>43</v>
      </c>
      <c r="B35" s="83"/>
      <c r="C35" s="83"/>
      <c r="D35" s="83"/>
      <c r="E35" s="32"/>
      <c r="F35" s="62"/>
      <c r="G35" s="102">
        <f>(61026*36.74371)/1000000</f>
        <v>2.2423216464599998</v>
      </c>
      <c r="H35" s="13"/>
      <c r="I35" s="83"/>
      <c r="J35" s="6">
        <f>((6376635*0.907185)*36.74371)/1000000</f>
        <v>212.55455881181089</v>
      </c>
      <c r="K35" s="31"/>
      <c r="L35" s="102">
        <f>(5211687.1*36.74371)/1000000</f>
        <v>191.49671941314099</v>
      </c>
      <c r="M35" s="6"/>
      <c r="N35" s="107"/>
      <c r="P35" s="34"/>
      <c r="Q35" s="34"/>
      <c r="R35" s="90"/>
      <c r="S35" s="113"/>
    </row>
    <row r="36" spans="1:20" ht="16.5" customHeight="1">
      <c r="A36" s="79" t="s">
        <v>55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80"/>
      <c r="M36" s="69"/>
      <c r="N36" s="69"/>
      <c r="T36" s="95"/>
    </row>
    <row r="37" spans="1:20" ht="16.5" customHeight="1">
      <c r="A37" s="15" t="s">
        <v>56</v>
      </c>
      <c r="B37" s="15"/>
      <c r="C37" s="15"/>
      <c r="D37" s="15"/>
      <c r="E37" s="35"/>
      <c r="F37" s="35"/>
      <c r="G37" s="35"/>
      <c r="H37" s="35"/>
      <c r="I37" s="35"/>
      <c r="J37" s="35"/>
      <c r="K37" s="35"/>
      <c r="L37" s="35"/>
      <c r="M37" s="35"/>
      <c r="N37" s="35"/>
      <c r="T37" s="95"/>
    </row>
    <row r="38" spans="1:20" ht="16.5" customHeight="1">
      <c r="A38" s="20" t="s">
        <v>57</v>
      </c>
      <c r="B38" s="36">
        <f>Contents!A18</f>
        <v>45729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T38" s="95"/>
    </row>
    <row r="39" spans="1:20" ht="16.5" customHeight="1">
      <c r="T39" s="95"/>
    </row>
    <row r="40" spans="1:20" ht="16.5" customHeight="1">
      <c r="J40" s="34"/>
      <c r="K40" s="34"/>
      <c r="L40" s="86"/>
      <c r="M40" s="90"/>
      <c r="T40" s="95"/>
    </row>
    <row r="41" spans="1:20" ht="16.5" customHeight="1">
      <c r="J41" s="34"/>
      <c r="K41" s="92"/>
      <c r="L41" s="34"/>
      <c r="M41" s="34"/>
      <c r="P41" s="34"/>
      <c r="T41" s="95"/>
    </row>
    <row r="42" spans="1:20" ht="16.5" customHeight="1">
      <c r="J42" s="34"/>
      <c r="L42" s="162"/>
      <c r="T42" s="95"/>
    </row>
    <row r="43" spans="1:20" ht="16.5" customHeight="1">
      <c r="J43" s="34"/>
      <c r="L43" s="137"/>
      <c r="T43" s="95"/>
    </row>
    <row r="44" spans="1:20" ht="16.5" customHeight="1">
      <c r="J44" s="34"/>
      <c r="L44" s="34"/>
      <c r="T44" s="95"/>
    </row>
    <row r="45" spans="1:20" ht="16.5" customHeight="1">
      <c r="J45" s="34"/>
      <c r="L45" s="34"/>
      <c r="T45" s="95"/>
    </row>
    <row r="46" spans="1:20" ht="16.5" customHeight="1">
      <c r="T46" s="95"/>
    </row>
    <row r="47" spans="1:20" ht="16.5" customHeight="1">
      <c r="T47" s="95"/>
    </row>
    <row r="48" spans="1:20" ht="16.5" customHeight="1">
      <c r="T48" s="95"/>
    </row>
    <row r="49" spans="15:73" ht="16.5" customHeight="1">
      <c r="T49" s="95"/>
    </row>
    <row r="50" spans="15:73" ht="16.5" customHeight="1"/>
    <row r="51" spans="15:73" ht="16.5" customHeight="1"/>
    <row r="52" spans="15:73" ht="16.5" customHeight="1"/>
    <row r="53" spans="15:73" ht="16.5" customHeight="1"/>
    <row r="54" spans="15:73" ht="16.5" customHeight="1">
      <c r="O54" s="83"/>
      <c r="P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</row>
    <row r="55" spans="15:73">
      <c r="O55" s="83"/>
      <c r="P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</row>
    <row r="56" spans="15:73">
      <c r="O56" s="83"/>
      <c r="P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</row>
    <row r="57" spans="15:73">
      <c r="O57" s="83"/>
      <c r="P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</row>
    <row r="58" spans="15:73">
      <c r="O58" s="83"/>
      <c r="P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</row>
    <row r="59" spans="15:73">
      <c r="O59" s="83"/>
      <c r="P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</row>
    <row r="60" spans="15:73">
      <c r="O60" s="83"/>
      <c r="P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</row>
    <row r="61" spans="15:73">
      <c r="O61" s="83"/>
      <c r="P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</row>
    <row r="62" spans="15:73">
      <c r="O62" s="83"/>
      <c r="P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</row>
    <row r="63" spans="15:73">
      <c r="O63" s="83"/>
      <c r="P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</row>
    <row r="64" spans="15:73">
      <c r="O64" s="83"/>
      <c r="P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</row>
    <row r="65" spans="15:73">
      <c r="O65" s="83"/>
      <c r="P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</row>
    <row r="66" spans="15:73">
      <c r="O66" s="83"/>
      <c r="P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</row>
    <row r="67" spans="15:73">
      <c r="O67" s="83"/>
      <c r="P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</row>
    <row r="68" spans="15:73">
      <c r="O68" s="83"/>
      <c r="P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</row>
    <row r="69" spans="15:73">
      <c r="O69" s="83"/>
      <c r="P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</row>
    <row r="70" spans="15:73">
      <c r="O70" s="83"/>
      <c r="P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</row>
    <row r="71" spans="15:73">
      <c r="O71" s="83"/>
      <c r="P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</row>
    <row r="72" spans="15:73">
      <c r="O72" s="83"/>
      <c r="P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</row>
    <row r="73" spans="15:73">
      <c r="O73" s="83"/>
      <c r="P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</row>
    <row r="74" spans="15:73">
      <c r="O74" s="83"/>
      <c r="P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</row>
    <row r="75" spans="15:73">
      <c r="O75" s="83"/>
      <c r="P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</row>
    <row r="76" spans="15:73">
      <c r="O76" s="83"/>
      <c r="P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</row>
    <row r="77" spans="15:73">
      <c r="O77" s="83"/>
      <c r="P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</row>
    <row r="78" spans="15:73">
      <c r="O78" s="83"/>
      <c r="P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</row>
    <row r="79" spans="15:73">
      <c r="O79" s="83"/>
      <c r="P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</row>
    <row r="80" spans="15:73">
      <c r="O80" s="83"/>
      <c r="P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</row>
    <row r="81" spans="15:73">
      <c r="O81" s="83"/>
      <c r="P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</row>
    <row r="82" spans="15:73"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</row>
    <row r="83" spans="15:73"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</row>
    <row r="84" spans="15:73"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</row>
    <row r="85" spans="15:73"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</row>
    <row r="86" spans="15:73"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</row>
    <row r="87" spans="15:73"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</row>
    <row r="88" spans="15:73"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</row>
    <row r="89" spans="15:73"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</row>
    <row r="90" spans="15:73"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</row>
    <row r="91" spans="15:73"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</row>
    <row r="92" spans="15:73"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</row>
    <row r="93" spans="15:73"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</row>
    <row r="94" spans="15:73"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</row>
    <row r="95" spans="15:73"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</row>
    <row r="96" spans="15:73"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</row>
    <row r="97" spans="15:73"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</row>
    <row r="98" spans="15:73"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</row>
    <row r="99" spans="15:73"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</row>
    <row r="100" spans="15:73"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  <c r="AE100" s="83"/>
      <c r="AF100" s="83"/>
      <c r="AG100" s="83"/>
      <c r="AH100" s="83"/>
      <c r="AI100" s="83"/>
      <c r="AJ100" s="83"/>
      <c r="AK100" s="83"/>
      <c r="AL100" s="83"/>
      <c r="AM100" s="83"/>
      <c r="AN100" s="83"/>
      <c r="AO100" s="83"/>
      <c r="AP100" s="83"/>
      <c r="AQ100" s="83"/>
      <c r="AR100" s="83"/>
      <c r="AS100" s="83"/>
      <c r="AT100" s="83"/>
      <c r="AU100" s="83"/>
      <c r="AV100" s="83"/>
      <c r="AW100" s="83"/>
      <c r="AX100" s="83"/>
      <c r="AY100" s="83"/>
      <c r="AZ100" s="83"/>
      <c r="BA100" s="83"/>
      <c r="BB100" s="83"/>
      <c r="BC100" s="83"/>
      <c r="BD100" s="83"/>
      <c r="BE100" s="83"/>
      <c r="BF100" s="83"/>
      <c r="BG100" s="83"/>
      <c r="BH100" s="83"/>
      <c r="BI100" s="83"/>
      <c r="BJ100" s="83"/>
      <c r="BK100" s="83"/>
      <c r="BL100" s="83"/>
      <c r="BM100" s="83"/>
      <c r="BN100" s="83"/>
      <c r="BO100" s="83"/>
      <c r="BP100" s="83"/>
      <c r="BQ100" s="83"/>
      <c r="BR100" s="83"/>
      <c r="BS100" s="83"/>
      <c r="BT100" s="83"/>
      <c r="BU100" s="83"/>
    </row>
    <row r="101" spans="15:73"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</row>
    <row r="102" spans="15:73"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</row>
    <row r="103" spans="15:73"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83"/>
      <c r="BO103" s="83"/>
      <c r="BP103" s="83"/>
      <c r="BQ103" s="83"/>
      <c r="BR103" s="83"/>
      <c r="BS103" s="83"/>
      <c r="BT103" s="83"/>
      <c r="BU103" s="83"/>
    </row>
    <row r="104" spans="15:73"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3"/>
      <c r="AN104" s="83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83"/>
      <c r="BH104" s="83"/>
      <c r="BI104" s="83"/>
      <c r="BJ104" s="83"/>
      <c r="BK104" s="83"/>
      <c r="BL104" s="83"/>
      <c r="BM104" s="83"/>
      <c r="BN104" s="83"/>
      <c r="BO104" s="83"/>
      <c r="BP104" s="83"/>
      <c r="BQ104" s="83"/>
      <c r="BR104" s="83"/>
      <c r="BS104" s="83"/>
      <c r="BT104" s="83"/>
      <c r="BU104" s="83"/>
    </row>
    <row r="105" spans="15:73"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</row>
    <row r="106" spans="15:73"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83"/>
      <c r="AN106" s="83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83"/>
      <c r="BH106" s="83"/>
      <c r="BI106" s="83"/>
      <c r="BJ106" s="83"/>
      <c r="BK106" s="83"/>
      <c r="BL106" s="83"/>
      <c r="BM106" s="83"/>
      <c r="BN106" s="83"/>
      <c r="BO106" s="83"/>
      <c r="BP106" s="83"/>
      <c r="BQ106" s="83"/>
      <c r="BR106" s="83"/>
      <c r="BS106" s="83"/>
      <c r="BT106" s="83"/>
      <c r="BU106" s="83"/>
    </row>
    <row r="107" spans="15:73"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3"/>
      <c r="AP107" s="83"/>
      <c r="AQ107" s="83"/>
      <c r="AR107" s="83"/>
      <c r="AS107" s="83"/>
      <c r="AT107" s="83"/>
      <c r="AU107" s="83"/>
      <c r="AV107" s="83"/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3"/>
      <c r="BL107" s="83"/>
      <c r="BM107" s="83"/>
      <c r="BN107" s="83"/>
      <c r="BO107" s="83"/>
      <c r="BP107" s="83"/>
      <c r="BQ107" s="83"/>
      <c r="BR107" s="83"/>
      <c r="BS107" s="83"/>
      <c r="BT107" s="83"/>
      <c r="BU107" s="83"/>
    </row>
    <row r="108" spans="15:73"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3"/>
      <c r="AM108" s="83"/>
      <c r="AN108" s="83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  <c r="BB108" s="83"/>
      <c r="BC108" s="83"/>
      <c r="BD108" s="83"/>
      <c r="BE108" s="83"/>
      <c r="BF108" s="83"/>
      <c r="BG108" s="83"/>
      <c r="BH108" s="83"/>
      <c r="BI108" s="83"/>
      <c r="BJ108" s="83"/>
      <c r="BK108" s="83"/>
      <c r="BL108" s="83"/>
      <c r="BM108" s="83"/>
      <c r="BN108" s="83"/>
      <c r="BO108" s="83"/>
      <c r="BP108" s="83"/>
      <c r="BQ108" s="83"/>
      <c r="BR108" s="83"/>
      <c r="BS108" s="83"/>
      <c r="BT108" s="83"/>
      <c r="BU108" s="83"/>
    </row>
    <row r="109" spans="15:73"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  <c r="AE109" s="83"/>
      <c r="AF109" s="83"/>
      <c r="AG109" s="83"/>
      <c r="AH109" s="83"/>
      <c r="AI109" s="83"/>
      <c r="AJ109" s="83"/>
      <c r="AK109" s="83"/>
      <c r="AL109" s="83"/>
      <c r="AM109" s="83"/>
      <c r="AN109" s="83"/>
      <c r="AO109" s="83"/>
      <c r="AP109" s="83"/>
      <c r="AQ109" s="83"/>
      <c r="AR109" s="83"/>
      <c r="AS109" s="83"/>
      <c r="AT109" s="83"/>
      <c r="AU109" s="83"/>
      <c r="AV109" s="83"/>
      <c r="AW109" s="83"/>
      <c r="AX109" s="83"/>
      <c r="AY109" s="83"/>
      <c r="AZ109" s="83"/>
      <c r="BA109" s="83"/>
      <c r="BB109" s="83"/>
      <c r="BC109" s="83"/>
      <c r="BD109" s="83"/>
      <c r="BE109" s="83"/>
      <c r="BF109" s="83"/>
      <c r="BG109" s="83"/>
      <c r="BH109" s="83"/>
      <c r="BI109" s="83"/>
      <c r="BJ109" s="83"/>
      <c r="BK109" s="83"/>
      <c r="BL109" s="83"/>
      <c r="BM109" s="83"/>
      <c r="BN109" s="83"/>
      <c r="BO109" s="83"/>
      <c r="BP109" s="83"/>
      <c r="BQ109" s="83"/>
      <c r="BR109" s="83"/>
      <c r="BS109" s="83"/>
      <c r="BT109" s="83"/>
      <c r="BU109" s="83"/>
    </row>
    <row r="110" spans="15:73"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83"/>
      <c r="BP110" s="83"/>
      <c r="BQ110" s="83"/>
      <c r="BR110" s="83"/>
      <c r="BS110" s="83"/>
      <c r="BT110" s="83"/>
      <c r="BU110" s="83"/>
    </row>
    <row r="111" spans="15:73"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3"/>
      <c r="AO111" s="83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3"/>
      <c r="BA111" s="83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3"/>
      <c r="BM111" s="83"/>
      <c r="BN111" s="83"/>
      <c r="BO111" s="83"/>
      <c r="BP111" s="83"/>
      <c r="BQ111" s="83"/>
      <c r="BR111" s="83"/>
      <c r="BS111" s="83"/>
      <c r="BT111" s="83"/>
      <c r="BU111" s="83"/>
    </row>
    <row r="112" spans="15:73"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  <c r="AE112" s="83"/>
      <c r="AF112" s="83"/>
      <c r="AG112" s="83"/>
      <c r="AH112" s="83"/>
      <c r="AI112" s="83"/>
      <c r="AJ112" s="83"/>
      <c r="AK112" s="83"/>
      <c r="AL112" s="83"/>
      <c r="AM112" s="83"/>
      <c r="AN112" s="83"/>
      <c r="AO112" s="83"/>
      <c r="AP112" s="83"/>
      <c r="AQ112" s="83"/>
      <c r="AR112" s="83"/>
      <c r="AS112" s="83"/>
      <c r="AT112" s="83"/>
      <c r="AU112" s="83"/>
      <c r="AV112" s="83"/>
      <c r="AW112" s="83"/>
      <c r="AX112" s="83"/>
      <c r="AY112" s="83"/>
      <c r="AZ112" s="83"/>
      <c r="BA112" s="83"/>
      <c r="BB112" s="83"/>
      <c r="BC112" s="83"/>
      <c r="BD112" s="83"/>
      <c r="BE112" s="83"/>
      <c r="BF112" s="83"/>
      <c r="BG112" s="83"/>
      <c r="BH112" s="83"/>
      <c r="BI112" s="83"/>
      <c r="BJ112" s="83"/>
      <c r="BK112" s="83"/>
      <c r="BL112" s="83"/>
      <c r="BM112" s="83"/>
      <c r="BN112" s="83"/>
      <c r="BO112" s="83"/>
      <c r="BP112" s="83"/>
      <c r="BQ112" s="83"/>
      <c r="BR112" s="83"/>
      <c r="BS112" s="83"/>
      <c r="BT112" s="83"/>
      <c r="BU112" s="83"/>
    </row>
    <row r="113" spans="15:73"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</row>
    <row r="114" spans="15:73"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  <c r="AF114" s="83"/>
      <c r="AG114" s="83"/>
      <c r="AH114" s="83"/>
      <c r="AI114" s="83"/>
      <c r="AJ114" s="83"/>
      <c r="AK114" s="83"/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3"/>
      <c r="AW114" s="83"/>
      <c r="AX114" s="83"/>
      <c r="AY114" s="83"/>
      <c r="AZ114" s="83"/>
      <c r="BA114" s="83"/>
      <c r="BB114" s="83"/>
      <c r="BC114" s="83"/>
      <c r="BD114" s="83"/>
      <c r="BE114" s="83"/>
      <c r="BF114" s="83"/>
      <c r="BG114" s="83"/>
      <c r="BH114" s="83"/>
      <c r="BI114" s="83"/>
      <c r="BJ114" s="83"/>
      <c r="BK114" s="83"/>
      <c r="BL114" s="83"/>
      <c r="BM114" s="83"/>
      <c r="BN114" s="83"/>
      <c r="BO114" s="83"/>
      <c r="BP114" s="83"/>
      <c r="BQ114" s="83"/>
      <c r="BR114" s="83"/>
      <c r="BS114" s="83"/>
      <c r="BT114" s="83"/>
      <c r="BU114" s="83"/>
    </row>
    <row r="115" spans="15:73"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  <c r="AF115" s="83"/>
      <c r="AG115" s="83"/>
      <c r="AH115" s="83"/>
      <c r="AI115" s="83"/>
      <c r="AJ115" s="83"/>
      <c r="AK115" s="83"/>
      <c r="AL115" s="83"/>
      <c r="AM115" s="83"/>
      <c r="AN115" s="83"/>
      <c r="AO115" s="83"/>
      <c r="AP115" s="83"/>
      <c r="AQ115" s="83"/>
      <c r="AR115" s="83"/>
      <c r="AS115" s="83"/>
      <c r="AT115" s="83"/>
      <c r="AU115" s="83"/>
      <c r="AV115" s="83"/>
      <c r="AW115" s="83"/>
      <c r="AX115" s="83"/>
      <c r="AY115" s="83"/>
      <c r="AZ115" s="83"/>
      <c r="BA115" s="83"/>
      <c r="BB115" s="83"/>
      <c r="BC115" s="83"/>
      <c r="BD115" s="83"/>
      <c r="BE115" s="83"/>
      <c r="BF115" s="83"/>
      <c r="BG115" s="83"/>
      <c r="BH115" s="83"/>
      <c r="BI115" s="83"/>
      <c r="BJ115" s="83"/>
      <c r="BK115" s="83"/>
      <c r="BL115" s="83"/>
      <c r="BM115" s="83"/>
      <c r="BN115" s="83"/>
      <c r="BO115" s="83"/>
      <c r="BP115" s="83"/>
      <c r="BQ115" s="83"/>
      <c r="BR115" s="83"/>
      <c r="BS115" s="83"/>
      <c r="BT115" s="83"/>
      <c r="BU115" s="83"/>
    </row>
    <row r="116" spans="15:73"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83"/>
      <c r="AM116" s="83"/>
      <c r="AN116" s="83"/>
      <c r="AO116" s="83"/>
      <c r="AP116" s="83"/>
      <c r="AQ116" s="83"/>
      <c r="AR116" s="83"/>
      <c r="AS116" s="83"/>
      <c r="AT116" s="83"/>
      <c r="AU116" s="83"/>
      <c r="AV116" s="83"/>
      <c r="AW116" s="83"/>
      <c r="AX116" s="83"/>
      <c r="AY116" s="83"/>
      <c r="AZ116" s="83"/>
      <c r="BA116" s="83"/>
      <c r="BB116" s="83"/>
      <c r="BC116" s="83"/>
      <c r="BD116" s="83"/>
      <c r="BE116" s="83"/>
      <c r="BF116" s="83"/>
      <c r="BG116" s="83"/>
      <c r="BH116" s="83"/>
      <c r="BI116" s="83"/>
      <c r="BJ116" s="83"/>
      <c r="BK116" s="83"/>
      <c r="BL116" s="83"/>
      <c r="BM116" s="83"/>
      <c r="BN116" s="83"/>
      <c r="BO116" s="83"/>
      <c r="BP116" s="83"/>
      <c r="BQ116" s="83"/>
      <c r="BR116" s="83"/>
      <c r="BS116" s="83"/>
      <c r="BT116" s="83"/>
      <c r="BU116" s="83"/>
    </row>
    <row r="117" spans="15:73"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  <c r="AE117" s="83"/>
      <c r="AF117" s="83"/>
      <c r="AG117" s="83"/>
      <c r="AH117" s="83"/>
      <c r="AI117" s="83"/>
      <c r="AJ117" s="83"/>
      <c r="AK117" s="83"/>
      <c r="AL117" s="83"/>
      <c r="AM117" s="83"/>
      <c r="AN117" s="83"/>
      <c r="AO117" s="83"/>
      <c r="AP117" s="83"/>
      <c r="AQ117" s="83"/>
      <c r="AR117" s="83"/>
      <c r="AS117" s="83"/>
      <c r="AT117" s="83"/>
      <c r="AU117" s="83"/>
      <c r="AV117" s="83"/>
      <c r="AW117" s="83"/>
      <c r="AX117" s="83"/>
      <c r="AY117" s="83"/>
      <c r="AZ117" s="83"/>
      <c r="BA117" s="83"/>
      <c r="BB117" s="83"/>
      <c r="BC117" s="83"/>
      <c r="BD117" s="83"/>
      <c r="BE117" s="83"/>
      <c r="BF117" s="83"/>
      <c r="BG117" s="83"/>
      <c r="BH117" s="83"/>
      <c r="BI117" s="83"/>
      <c r="BJ117" s="83"/>
      <c r="BK117" s="83"/>
      <c r="BL117" s="83"/>
      <c r="BM117" s="83"/>
      <c r="BN117" s="83"/>
      <c r="BO117" s="83"/>
      <c r="BP117" s="83"/>
      <c r="BQ117" s="83"/>
      <c r="BR117" s="83"/>
      <c r="BS117" s="83"/>
      <c r="BT117" s="83"/>
      <c r="BU117" s="83"/>
    </row>
    <row r="118" spans="15:73"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  <c r="AE118" s="83"/>
      <c r="AF118" s="83"/>
      <c r="AG118" s="83"/>
      <c r="AH118" s="83"/>
      <c r="AI118" s="83"/>
      <c r="AJ118" s="83"/>
      <c r="AK118" s="83"/>
      <c r="AL118" s="83"/>
      <c r="AM118" s="83"/>
      <c r="AN118" s="83"/>
      <c r="AO118" s="83"/>
      <c r="AP118" s="83"/>
      <c r="AQ118" s="83"/>
      <c r="AR118" s="83"/>
      <c r="AS118" s="83"/>
      <c r="AT118" s="83"/>
      <c r="AU118" s="83"/>
      <c r="AV118" s="83"/>
      <c r="AW118" s="83"/>
      <c r="AX118" s="83"/>
      <c r="AY118" s="83"/>
      <c r="AZ118" s="83"/>
      <c r="BA118" s="83"/>
      <c r="BB118" s="83"/>
      <c r="BC118" s="83"/>
      <c r="BD118" s="83"/>
      <c r="BE118" s="83"/>
      <c r="BF118" s="83"/>
      <c r="BG118" s="83"/>
      <c r="BH118" s="83"/>
      <c r="BI118" s="83"/>
      <c r="BJ118" s="83"/>
      <c r="BK118" s="83"/>
      <c r="BL118" s="83"/>
      <c r="BM118" s="83"/>
      <c r="BN118" s="83"/>
      <c r="BO118" s="83"/>
      <c r="BP118" s="83"/>
      <c r="BQ118" s="83"/>
      <c r="BR118" s="83"/>
      <c r="BS118" s="83"/>
      <c r="BT118" s="83"/>
      <c r="BU118" s="83"/>
    </row>
    <row r="119" spans="15:73"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</row>
    <row r="120" spans="15:73"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  <c r="AE120" s="83"/>
      <c r="AF120" s="83"/>
      <c r="AG120" s="83"/>
      <c r="AH120" s="83"/>
      <c r="AI120" s="83"/>
      <c r="AJ120" s="83"/>
      <c r="AK120" s="83"/>
      <c r="AL120" s="83"/>
      <c r="AM120" s="83"/>
      <c r="AN120" s="83"/>
      <c r="AO120" s="83"/>
      <c r="AP120" s="83"/>
      <c r="AQ120" s="83"/>
      <c r="AR120" s="83"/>
      <c r="AS120" s="83"/>
      <c r="AT120" s="83"/>
      <c r="AU120" s="83"/>
      <c r="AV120" s="83"/>
      <c r="AW120" s="83"/>
      <c r="AX120" s="83"/>
      <c r="AY120" s="83"/>
      <c r="AZ120" s="83"/>
      <c r="BA120" s="83"/>
      <c r="BB120" s="83"/>
      <c r="BC120" s="83"/>
      <c r="BD120" s="83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</row>
    <row r="121" spans="15:73"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83"/>
      <c r="BC121" s="83"/>
      <c r="BD121" s="83"/>
      <c r="BE121" s="83"/>
      <c r="BF121" s="83"/>
      <c r="BG121" s="83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3"/>
      <c r="BS121" s="83"/>
      <c r="BT121" s="83"/>
      <c r="BU121" s="83"/>
    </row>
    <row r="122" spans="15:73"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  <c r="AE122" s="83"/>
      <c r="AF122" s="83"/>
      <c r="AG122" s="83"/>
      <c r="AH122" s="83"/>
      <c r="AI122" s="83"/>
      <c r="AJ122" s="83"/>
      <c r="AK122" s="83"/>
      <c r="AL122" s="83"/>
      <c r="AM122" s="83"/>
      <c r="AN122" s="83"/>
      <c r="AO122" s="83"/>
      <c r="AP122" s="83"/>
      <c r="AQ122" s="83"/>
      <c r="AR122" s="83"/>
      <c r="AS122" s="83"/>
      <c r="AT122" s="83"/>
      <c r="AU122" s="83"/>
      <c r="AV122" s="83"/>
      <c r="AW122" s="83"/>
      <c r="AX122" s="83"/>
      <c r="AY122" s="83"/>
      <c r="AZ122" s="83"/>
      <c r="BA122" s="83"/>
      <c r="BB122" s="83"/>
      <c r="BC122" s="83"/>
      <c r="BD122" s="83"/>
      <c r="BE122" s="83"/>
      <c r="BF122" s="83"/>
      <c r="BG122" s="83"/>
      <c r="BH122" s="83"/>
      <c r="BI122" s="83"/>
      <c r="BJ122" s="83"/>
      <c r="BK122" s="83"/>
      <c r="BL122" s="83"/>
      <c r="BM122" s="83"/>
      <c r="BN122" s="83"/>
      <c r="BO122" s="83"/>
      <c r="BP122" s="83"/>
      <c r="BQ122" s="83"/>
      <c r="BR122" s="83"/>
      <c r="BS122" s="83"/>
      <c r="BT122" s="83"/>
      <c r="BU122" s="83"/>
    </row>
    <row r="123" spans="15:73"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  <c r="BM123" s="83"/>
      <c r="BN123" s="83"/>
      <c r="BO123" s="83"/>
      <c r="BP123" s="83"/>
      <c r="BQ123" s="83"/>
      <c r="BR123" s="83"/>
      <c r="BS123" s="83"/>
      <c r="BT123" s="83"/>
      <c r="BU123" s="83"/>
    </row>
    <row r="124" spans="15:73"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  <c r="AE124" s="83"/>
      <c r="AF124" s="83"/>
      <c r="AG124" s="83"/>
      <c r="AH124" s="83"/>
      <c r="AI124" s="83"/>
      <c r="AJ124" s="83"/>
      <c r="AK124" s="83"/>
      <c r="AL124" s="83"/>
      <c r="AM124" s="83"/>
      <c r="AN124" s="83"/>
      <c r="AO124" s="83"/>
      <c r="AP124" s="83"/>
      <c r="AQ124" s="83"/>
      <c r="AR124" s="83"/>
      <c r="AS124" s="83"/>
      <c r="AT124" s="83"/>
      <c r="AU124" s="83"/>
      <c r="AV124" s="83"/>
      <c r="AW124" s="83"/>
      <c r="AX124" s="83"/>
      <c r="AY124" s="83"/>
      <c r="AZ124" s="83"/>
      <c r="BA124" s="83"/>
      <c r="BB124" s="83"/>
      <c r="BC124" s="83"/>
      <c r="BD124" s="83"/>
      <c r="BE124" s="83"/>
      <c r="BF124" s="83"/>
      <c r="BG124" s="83"/>
      <c r="BH124" s="83"/>
      <c r="BI124" s="83"/>
      <c r="BJ124" s="83"/>
      <c r="BK124" s="83"/>
      <c r="BL124" s="83"/>
      <c r="BM124" s="83"/>
      <c r="BN124" s="83"/>
      <c r="BO124" s="83"/>
      <c r="BP124" s="83"/>
      <c r="BQ124" s="83"/>
      <c r="BR124" s="83"/>
      <c r="BS124" s="83"/>
      <c r="BT124" s="83"/>
      <c r="BU124" s="83"/>
    </row>
    <row r="125" spans="15:73"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83"/>
      <c r="AL125" s="83"/>
      <c r="AM125" s="83"/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83"/>
      <c r="BC125" s="83"/>
      <c r="BD125" s="83"/>
      <c r="BE125" s="83"/>
      <c r="BF125" s="83"/>
      <c r="BG125" s="83"/>
      <c r="BH125" s="83"/>
      <c r="BI125" s="83"/>
      <c r="BJ125" s="83"/>
      <c r="BK125" s="83"/>
      <c r="BL125" s="83"/>
      <c r="BM125" s="83"/>
      <c r="BN125" s="83"/>
      <c r="BO125" s="83"/>
      <c r="BP125" s="83"/>
      <c r="BQ125" s="83"/>
      <c r="BR125" s="83"/>
      <c r="BS125" s="83"/>
      <c r="BT125" s="83"/>
      <c r="BU125" s="83"/>
    </row>
    <row r="126" spans="15:73"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</row>
    <row r="127" spans="15:73"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</row>
    <row r="128" spans="15:73"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</row>
    <row r="129" spans="15:73"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</row>
    <row r="130" spans="15:73"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</row>
    <row r="131" spans="15:73"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</row>
    <row r="132" spans="15:73"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</row>
    <row r="133" spans="15:73"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</row>
    <row r="134" spans="15:73"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</row>
    <row r="135" spans="15:73"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</row>
    <row r="136" spans="15:73"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</row>
    <row r="137" spans="15:73"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</row>
    <row r="138" spans="15:73"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</row>
    <row r="139" spans="15:73"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  <c r="AE139" s="83"/>
      <c r="AF139" s="83"/>
      <c r="AG139" s="83"/>
      <c r="AH139" s="83"/>
      <c r="AI139" s="83"/>
      <c r="AJ139" s="83"/>
      <c r="AK139" s="83"/>
      <c r="AL139" s="83"/>
      <c r="AM139" s="83"/>
      <c r="AN139" s="83"/>
      <c r="AO139" s="83"/>
      <c r="AP139" s="83"/>
      <c r="AQ139" s="83"/>
      <c r="AR139" s="83"/>
      <c r="AS139" s="83"/>
      <c r="AT139" s="83"/>
      <c r="AU139" s="83"/>
      <c r="AV139" s="83"/>
      <c r="AW139" s="83"/>
      <c r="AX139" s="83"/>
      <c r="AY139" s="83"/>
      <c r="AZ139" s="83"/>
      <c r="BA139" s="83"/>
      <c r="BB139" s="83"/>
      <c r="BC139" s="83"/>
      <c r="BD139" s="83"/>
      <c r="BE139" s="83"/>
      <c r="BF139" s="83"/>
      <c r="BG139" s="83"/>
      <c r="BH139" s="83"/>
      <c r="BI139" s="83"/>
      <c r="BJ139" s="83"/>
      <c r="BK139" s="83"/>
      <c r="BL139" s="83"/>
      <c r="BM139" s="83"/>
      <c r="BN139" s="83"/>
      <c r="BO139" s="83"/>
      <c r="BP139" s="83"/>
      <c r="BQ139" s="83"/>
      <c r="BR139" s="83"/>
      <c r="BS139" s="83"/>
      <c r="BT139" s="83"/>
      <c r="BU139" s="83"/>
    </row>
    <row r="140" spans="15:73"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  <c r="AE140" s="83"/>
      <c r="AF140" s="83"/>
      <c r="AG140" s="83"/>
      <c r="AH140" s="83"/>
      <c r="AI140" s="83"/>
      <c r="AJ140" s="83"/>
      <c r="AK140" s="83"/>
      <c r="AL140" s="83"/>
      <c r="AM140" s="83"/>
      <c r="AN140" s="83"/>
      <c r="AO140" s="83"/>
      <c r="AP140" s="83"/>
      <c r="AQ140" s="83"/>
      <c r="AR140" s="83"/>
      <c r="AS140" s="83"/>
      <c r="AT140" s="83"/>
      <c r="AU140" s="83"/>
      <c r="AV140" s="83"/>
      <c r="AW140" s="83"/>
      <c r="AX140" s="83"/>
      <c r="AY140" s="83"/>
      <c r="AZ140" s="83"/>
      <c r="BA140" s="83"/>
      <c r="BB140" s="83"/>
      <c r="BC140" s="83"/>
      <c r="BD140" s="83"/>
      <c r="BE140" s="83"/>
      <c r="BF140" s="83"/>
      <c r="BG140" s="83"/>
      <c r="BH140" s="83"/>
      <c r="BI140" s="83"/>
      <c r="BJ140" s="83"/>
      <c r="BK140" s="83"/>
      <c r="BL140" s="83"/>
      <c r="BM140" s="83"/>
      <c r="BN140" s="83"/>
      <c r="BO140" s="83"/>
      <c r="BP140" s="83"/>
      <c r="BQ140" s="83"/>
      <c r="BR140" s="83"/>
      <c r="BS140" s="83"/>
      <c r="BT140" s="83"/>
      <c r="BU140" s="83"/>
    </row>
    <row r="141" spans="15:73"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83"/>
      <c r="AI141" s="83"/>
      <c r="AJ141" s="83"/>
      <c r="AK141" s="83"/>
      <c r="AL141" s="83"/>
      <c r="AM141" s="83"/>
      <c r="AN141" s="83"/>
      <c r="AO141" s="83"/>
      <c r="AP141" s="83"/>
      <c r="AQ141" s="83"/>
      <c r="AR141" s="83"/>
      <c r="AS141" s="83"/>
      <c r="AT141" s="83"/>
      <c r="AU141" s="83"/>
      <c r="AV141" s="83"/>
      <c r="AW141" s="83"/>
      <c r="AX141" s="83"/>
      <c r="AY141" s="83"/>
      <c r="AZ141" s="83"/>
      <c r="BA141" s="83"/>
      <c r="BB141" s="83"/>
      <c r="BC141" s="83"/>
      <c r="BD141" s="83"/>
      <c r="BE141" s="83"/>
      <c r="BF141" s="83"/>
      <c r="BG141" s="83"/>
      <c r="BH141" s="83"/>
      <c r="BI141" s="83"/>
      <c r="BJ141" s="83"/>
      <c r="BK141" s="83"/>
      <c r="BL141" s="83"/>
      <c r="BM141" s="83"/>
      <c r="BN141" s="83"/>
      <c r="BO141" s="83"/>
      <c r="BP141" s="83"/>
      <c r="BQ141" s="83"/>
      <c r="BR141" s="83"/>
      <c r="BS141" s="83"/>
      <c r="BT141" s="83"/>
      <c r="BU141" s="83"/>
    </row>
    <row r="142" spans="15:73"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83"/>
      <c r="AG142" s="83"/>
      <c r="AH142" s="83"/>
      <c r="AI142" s="83"/>
      <c r="AJ142" s="83"/>
      <c r="AK142" s="83"/>
      <c r="AL142" s="83"/>
      <c r="AM142" s="83"/>
      <c r="AN142" s="83"/>
      <c r="AO142" s="83"/>
      <c r="AP142" s="83"/>
      <c r="AQ142" s="83"/>
      <c r="AR142" s="83"/>
      <c r="AS142" s="83"/>
      <c r="AT142" s="83"/>
      <c r="AU142" s="83"/>
      <c r="AV142" s="83"/>
      <c r="AW142" s="83"/>
      <c r="AX142" s="83"/>
      <c r="AY142" s="83"/>
      <c r="AZ142" s="83"/>
      <c r="BA142" s="83"/>
      <c r="BB142" s="83"/>
      <c r="BC142" s="83"/>
      <c r="BD142" s="83"/>
      <c r="BE142" s="83"/>
      <c r="BF142" s="83"/>
      <c r="BG142" s="83"/>
      <c r="BH142" s="83"/>
      <c r="BI142" s="83"/>
      <c r="BJ142" s="83"/>
      <c r="BK142" s="83"/>
      <c r="BL142" s="83"/>
      <c r="BM142" s="83"/>
      <c r="BN142" s="83"/>
      <c r="BO142" s="83"/>
      <c r="BP142" s="83"/>
      <c r="BQ142" s="83"/>
      <c r="BR142" s="83"/>
      <c r="BS142" s="83"/>
      <c r="BT142" s="83"/>
      <c r="BU142" s="83"/>
    </row>
    <row r="143" spans="15:73"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  <c r="AE143" s="83"/>
      <c r="AF143" s="83"/>
      <c r="AG143" s="83"/>
      <c r="AH143" s="83"/>
      <c r="AI143" s="83"/>
      <c r="AJ143" s="83"/>
      <c r="AK143" s="83"/>
      <c r="AL143" s="83"/>
      <c r="AM143" s="83"/>
      <c r="AN143" s="83"/>
      <c r="AO143" s="83"/>
      <c r="AP143" s="83"/>
      <c r="AQ143" s="83"/>
      <c r="AR143" s="83"/>
      <c r="AS143" s="83"/>
      <c r="AT143" s="83"/>
      <c r="AU143" s="83"/>
      <c r="AV143" s="83"/>
      <c r="AW143" s="83"/>
      <c r="AX143" s="83"/>
      <c r="AY143" s="83"/>
      <c r="AZ143" s="83"/>
      <c r="BA143" s="83"/>
      <c r="BB143" s="83"/>
      <c r="BC143" s="83"/>
      <c r="BD143" s="83"/>
      <c r="BE143" s="83"/>
      <c r="BF143" s="83"/>
      <c r="BG143" s="83"/>
      <c r="BH143" s="83"/>
      <c r="BI143" s="83"/>
      <c r="BJ143" s="83"/>
      <c r="BK143" s="83"/>
      <c r="BL143" s="83"/>
      <c r="BM143" s="83"/>
      <c r="BN143" s="83"/>
      <c r="BO143" s="83"/>
      <c r="BP143" s="83"/>
      <c r="BQ143" s="83"/>
      <c r="BR143" s="83"/>
      <c r="BS143" s="83"/>
      <c r="BT143" s="83"/>
      <c r="BU143" s="83"/>
    </row>
    <row r="144" spans="15:73"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  <c r="BM144" s="83"/>
      <c r="BN144" s="83"/>
      <c r="BO144" s="83"/>
      <c r="BP144" s="83"/>
      <c r="BQ144" s="83"/>
      <c r="BR144" s="83"/>
      <c r="BS144" s="83"/>
      <c r="BT144" s="83"/>
      <c r="BU144" s="83"/>
    </row>
    <row r="145" spans="15:73"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  <c r="AF145" s="83"/>
      <c r="AG145" s="83"/>
      <c r="AH145" s="83"/>
      <c r="AI145" s="83"/>
      <c r="AJ145" s="83"/>
      <c r="AK145" s="83"/>
      <c r="AL145" s="83"/>
      <c r="AM145" s="83"/>
      <c r="AN145" s="83"/>
      <c r="AO145" s="83"/>
      <c r="AP145" s="83"/>
      <c r="AQ145" s="83"/>
      <c r="AR145" s="83"/>
      <c r="AS145" s="83"/>
      <c r="AT145" s="83"/>
      <c r="AU145" s="83"/>
      <c r="AV145" s="83"/>
      <c r="AW145" s="83"/>
      <c r="AX145" s="83"/>
      <c r="AY145" s="83"/>
      <c r="AZ145" s="83"/>
      <c r="BA145" s="83"/>
      <c r="BB145" s="83"/>
      <c r="BC145" s="83"/>
      <c r="BD145" s="83"/>
      <c r="BE145" s="83"/>
      <c r="BF145" s="83"/>
      <c r="BG145" s="83"/>
      <c r="BH145" s="83"/>
      <c r="BI145" s="83"/>
      <c r="BJ145" s="83"/>
      <c r="BK145" s="83"/>
      <c r="BL145" s="83"/>
      <c r="BM145" s="83"/>
      <c r="BN145" s="83"/>
      <c r="BO145" s="83"/>
      <c r="BP145" s="83"/>
      <c r="BQ145" s="83"/>
      <c r="BR145" s="83"/>
      <c r="BS145" s="83"/>
      <c r="BT145" s="83"/>
      <c r="BU145" s="83"/>
    </row>
    <row r="146" spans="15:73"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  <c r="AE146" s="83"/>
      <c r="AF146" s="83"/>
      <c r="AG146" s="83"/>
      <c r="AH146" s="83"/>
      <c r="AI146" s="83"/>
      <c r="AJ146" s="83"/>
      <c r="AK146" s="83"/>
      <c r="AL146" s="83"/>
      <c r="AM146" s="83"/>
      <c r="AN146" s="83"/>
      <c r="AO146" s="83"/>
      <c r="AP146" s="83"/>
      <c r="AQ146" s="83"/>
      <c r="AR146" s="83"/>
      <c r="AS146" s="83"/>
      <c r="AT146" s="83"/>
      <c r="AU146" s="83"/>
      <c r="AV146" s="83"/>
      <c r="AW146" s="83"/>
      <c r="AX146" s="83"/>
      <c r="AY146" s="83"/>
      <c r="AZ146" s="83"/>
      <c r="BA146" s="83"/>
      <c r="BB146" s="83"/>
      <c r="BC146" s="83"/>
      <c r="BD146" s="83"/>
      <c r="BE146" s="83"/>
      <c r="BF146" s="83"/>
      <c r="BG146" s="83"/>
      <c r="BH146" s="83"/>
      <c r="BI146" s="83"/>
      <c r="BJ146" s="83"/>
      <c r="BK146" s="83"/>
      <c r="BL146" s="83"/>
      <c r="BM146" s="83"/>
      <c r="BN146" s="83"/>
      <c r="BO146" s="83"/>
      <c r="BP146" s="83"/>
      <c r="BQ146" s="83"/>
      <c r="BR146" s="83"/>
      <c r="BS146" s="83"/>
      <c r="BT146" s="83"/>
      <c r="BU146" s="83"/>
    </row>
    <row r="147" spans="15:73"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</row>
    <row r="148" spans="15:73"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</row>
    <row r="149" spans="15:73"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</row>
    <row r="150" spans="15:73"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</row>
    <row r="151" spans="15:73"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</row>
    <row r="152" spans="15:73"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</row>
    <row r="153" spans="15:73"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  <c r="AE153" s="83"/>
      <c r="AF153" s="83"/>
      <c r="AG153" s="83"/>
      <c r="AH153" s="83"/>
      <c r="AI153" s="83"/>
      <c r="AJ153" s="83"/>
      <c r="AK153" s="83"/>
      <c r="AL153" s="83"/>
      <c r="AM153" s="83"/>
      <c r="AN153" s="83"/>
      <c r="AO153" s="83"/>
      <c r="AP153" s="83"/>
      <c r="AQ153" s="83"/>
      <c r="AR153" s="83"/>
      <c r="AS153" s="83"/>
      <c r="AT153" s="83"/>
      <c r="AU153" s="83"/>
      <c r="AV153" s="83"/>
      <c r="AW153" s="83"/>
      <c r="AX153" s="83"/>
      <c r="AY153" s="83"/>
      <c r="AZ153" s="83"/>
      <c r="BA153" s="83"/>
      <c r="BB153" s="83"/>
      <c r="BC153" s="83"/>
      <c r="BD153" s="83"/>
      <c r="BE153" s="83"/>
      <c r="BF153" s="83"/>
      <c r="BG153" s="83"/>
      <c r="BH153" s="83"/>
      <c r="BI153" s="83"/>
      <c r="BJ153" s="83"/>
      <c r="BK153" s="83"/>
      <c r="BL153" s="83"/>
      <c r="BM153" s="83"/>
      <c r="BN153" s="83"/>
      <c r="BO153" s="83"/>
      <c r="BP153" s="83"/>
      <c r="BQ153" s="83"/>
      <c r="BR153" s="83"/>
      <c r="BS153" s="83"/>
      <c r="BT153" s="83"/>
      <c r="BU153" s="83"/>
    </row>
    <row r="154" spans="15:73"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  <c r="BM154" s="83"/>
      <c r="BN154" s="83"/>
      <c r="BO154" s="83"/>
      <c r="BP154" s="83"/>
      <c r="BQ154" s="83"/>
      <c r="BR154" s="83"/>
      <c r="BS154" s="83"/>
      <c r="BT154" s="83"/>
      <c r="BU154" s="83"/>
    </row>
    <row r="155" spans="15:73"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  <c r="AE155" s="83"/>
      <c r="AF155" s="83"/>
      <c r="AG155" s="83"/>
      <c r="AH155" s="83"/>
      <c r="AI155" s="83"/>
      <c r="AJ155" s="83"/>
      <c r="AK155" s="83"/>
      <c r="AL155" s="83"/>
      <c r="AM155" s="83"/>
      <c r="AN155" s="83"/>
      <c r="AO155" s="83"/>
      <c r="AP155" s="83"/>
      <c r="AQ155" s="83"/>
      <c r="AR155" s="83"/>
      <c r="AS155" s="83"/>
      <c r="AT155" s="83"/>
      <c r="AU155" s="83"/>
      <c r="AV155" s="83"/>
      <c r="AW155" s="83"/>
      <c r="AX155" s="83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83"/>
      <c r="BR155" s="83"/>
      <c r="BS155" s="83"/>
      <c r="BT155" s="83"/>
      <c r="BU155" s="83"/>
    </row>
    <row r="156" spans="15:73"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  <c r="AE156" s="83"/>
      <c r="AF156" s="83"/>
      <c r="AG156" s="83"/>
      <c r="AH156" s="83"/>
      <c r="AI156" s="83"/>
      <c r="AJ156" s="83"/>
      <c r="AK156" s="83"/>
      <c r="AL156" s="83"/>
      <c r="AM156" s="83"/>
      <c r="AN156" s="83"/>
      <c r="AO156" s="83"/>
      <c r="AP156" s="83"/>
      <c r="AQ156" s="83"/>
      <c r="AR156" s="83"/>
      <c r="AS156" s="83"/>
      <c r="AT156" s="83"/>
      <c r="AU156" s="83"/>
      <c r="AV156" s="83"/>
      <c r="AW156" s="83"/>
      <c r="AX156" s="83"/>
      <c r="AY156" s="83"/>
      <c r="AZ156" s="83"/>
      <c r="BA156" s="83"/>
      <c r="BB156" s="83"/>
      <c r="BC156" s="83"/>
      <c r="BD156" s="83"/>
      <c r="BE156" s="83"/>
      <c r="BF156" s="83"/>
      <c r="BG156" s="83"/>
      <c r="BH156" s="83"/>
      <c r="BI156" s="83"/>
      <c r="BJ156" s="83"/>
      <c r="BK156" s="83"/>
      <c r="BL156" s="83"/>
      <c r="BM156" s="83"/>
      <c r="BN156" s="83"/>
      <c r="BO156" s="83"/>
      <c r="BP156" s="83"/>
      <c r="BQ156" s="83"/>
      <c r="BR156" s="83"/>
      <c r="BS156" s="83"/>
      <c r="BT156" s="83"/>
      <c r="BU156" s="83"/>
    </row>
    <row r="157" spans="15:73"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  <c r="AE157" s="83"/>
      <c r="AF157" s="83"/>
      <c r="AG157" s="83"/>
      <c r="AH157" s="83"/>
      <c r="AI157" s="83"/>
      <c r="AJ157" s="83"/>
      <c r="AK157" s="83"/>
      <c r="AL157" s="83"/>
      <c r="AM157" s="83"/>
      <c r="AN157" s="83"/>
      <c r="AO157" s="83"/>
      <c r="AP157" s="83"/>
      <c r="AQ157" s="83"/>
      <c r="AR157" s="83"/>
      <c r="AS157" s="83"/>
      <c r="AT157" s="83"/>
      <c r="AU157" s="83"/>
      <c r="AV157" s="83"/>
      <c r="AW157" s="83"/>
      <c r="AX157" s="83"/>
      <c r="AY157" s="83"/>
      <c r="AZ157" s="83"/>
      <c r="BA157" s="83"/>
      <c r="BB157" s="83"/>
      <c r="BC157" s="83"/>
      <c r="BD157" s="83"/>
      <c r="BE157" s="83"/>
      <c r="BF157" s="83"/>
      <c r="BG157" s="83"/>
      <c r="BH157" s="83"/>
      <c r="BI157" s="83"/>
      <c r="BJ157" s="83"/>
      <c r="BK157" s="83"/>
      <c r="BL157" s="83"/>
      <c r="BM157" s="83"/>
      <c r="BN157" s="83"/>
      <c r="BO157" s="83"/>
      <c r="BP157" s="83"/>
      <c r="BQ157" s="83"/>
      <c r="BR157" s="83"/>
      <c r="BS157" s="83"/>
      <c r="BT157" s="83"/>
      <c r="BU157" s="83"/>
    </row>
    <row r="158" spans="15:73"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  <c r="AE158" s="83"/>
      <c r="AF158" s="83"/>
      <c r="AG158" s="83"/>
      <c r="AH158" s="83"/>
      <c r="AI158" s="83"/>
      <c r="AJ158" s="83"/>
      <c r="AK158" s="83"/>
      <c r="AL158" s="83"/>
      <c r="AM158" s="83"/>
      <c r="AN158" s="83"/>
      <c r="AO158" s="83"/>
      <c r="AP158" s="83"/>
      <c r="AQ158" s="83"/>
      <c r="AR158" s="83"/>
      <c r="AS158" s="83"/>
      <c r="AT158" s="83"/>
      <c r="AU158" s="83"/>
      <c r="AV158" s="83"/>
      <c r="AW158" s="83"/>
      <c r="AX158" s="83"/>
      <c r="AY158" s="83"/>
      <c r="AZ158" s="83"/>
      <c r="BA158" s="83"/>
      <c r="BB158" s="83"/>
      <c r="BC158" s="83"/>
      <c r="BD158" s="83"/>
      <c r="BE158" s="83"/>
      <c r="BF158" s="83"/>
      <c r="BG158" s="83"/>
      <c r="BH158" s="83"/>
      <c r="BI158" s="83"/>
      <c r="BJ158" s="83"/>
      <c r="BK158" s="83"/>
      <c r="BL158" s="83"/>
      <c r="BM158" s="83"/>
      <c r="BN158" s="83"/>
      <c r="BO158" s="83"/>
      <c r="BP158" s="83"/>
      <c r="BQ158" s="83"/>
      <c r="BR158" s="83"/>
      <c r="BS158" s="83"/>
      <c r="BT158" s="83"/>
      <c r="BU158" s="83"/>
    </row>
    <row r="159" spans="15:73"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  <c r="AE159" s="83"/>
      <c r="AF159" s="83"/>
      <c r="AG159" s="83"/>
      <c r="AH159" s="83"/>
      <c r="AI159" s="83"/>
      <c r="AJ159" s="83"/>
      <c r="AK159" s="83"/>
      <c r="AL159" s="83"/>
      <c r="AM159" s="83"/>
      <c r="AN159" s="83"/>
      <c r="AO159" s="83"/>
      <c r="AP159" s="83"/>
      <c r="AQ159" s="83"/>
      <c r="AR159" s="83"/>
      <c r="AS159" s="83"/>
      <c r="AT159" s="83"/>
      <c r="AU159" s="83"/>
      <c r="AV159" s="83"/>
      <c r="AW159" s="83"/>
      <c r="AX159" s="83"/>
      <c r="AY159" s="83"/>
      <c r="AZ159" s="83"/>
      <c r="BA159" s="83"/>
      <c r="BB159" s="83"/>
      <c r="BC159" s="83"/>
      <c r="BD159" s="83"/>
      <c r="BE159" s="83"/>
      <c r="BF159" s="83"/>
      <c r="BG159" s="83"/>
      <c r="BH159" s="83"/>
      <c r="BI159" s="83"/>
      <c r="BJ159" s="83"/>
      <c r="BK159" s="83"/>
      <c r="BL159" s="83"/>
      <c r="BM159" s="83"/>
      <c r="BN159" s="83"/>
      <c r="BO159" s="83"/>
      <c r="BP159" s="83"/>
      <c r="BQ159" s="83"/>
      <c r="BR159" s="83"/>
      <c r="BS159" s="83"/>
      <c r="BT159" s="83"/>
      <c r="BU159" s="83"/>
    </row>
    <row r="160" spans="15:73"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  <c r="AE160" s="83"/>
      <c r="AF160" s="83"/>
      <c r="AG160" s="83"/>
      <c r="AH160" s="83"/>
      <c r="AI160" s="83"/>
      <c r="AJ160" s="83"/>
      <c r="AK160" s="83"/>
      <c r="AL160" s="83"/>
      <c r="AM160" s="83"/>
      <c r="AN160" s="83"/>
      <c r="AO160" s="83"/>
      <c r="AP160" s="83"/>
      <c r="AQ160" s="83"/>
      <c r="AR160" s="83"/>
      <c r="AS160" s="83"/>
      <c r="AT160" s="83"/>
      <c r="AU160" s="83"/>
      <c r="AV160" s="83"/>
      <c r="AW160" s="83"/>
      <c r="AX160" s="83"/>
      <c r="AY160" s="83"/>
      <c r="AZ160" s="83"/>
      <c r="BA160" s="83"/>
      <c r="BB160" s="83"/>
      <c r="BC160" s="83"/>
      <c r="BD160" s="83"/>
      <c r="BE160" s="83"/>
      <c r="BF160" s="83"/>
      <c r="BG160" s="83"/>
      <c r="BH160" s="83"/>
      <c r="BI160" s="83"/>
      <c r="BJ160" s="83"/>
      <c r="BK160" s="83"/>
      <c r="BL160" s="83"/>
      <c r="BM160" s="83"/>
      <c r="BN160" s="83"/>
      <c r="BO160" s="83"/>
      <c r="BP160" s="83"/>
      <c r="BQ160" s="83"/>
      <c r="BR160" s="83"/>
      <c r="BS160" s="83"/>
      <c r="BT160" s="83"/>
      <c r="BU160" s="83"/>
    </row>
    <row r="161" spans="15:73"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83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3"/>
      <c r="AZ161" s="83"/>
      <c r="BA161" s="83"/>
      <c r="BB161" s="83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</row>
    <row r="162" spans="15:73"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83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3"/>
      <c r="AZ162" s="83"/>
      <c r="BA162" s="83"/>
      <c r="BB162" s="83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</row>
    <row r="163" spans="15:73"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83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3"/>
      <c r="AZ163" s="83"/>
      <c r="BA163" s="83"/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</row>
    <row r="164" spans="15:73"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</row>
    <row r="165" spans="15:73"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</row>
    <row r="166" spans="15:73"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3"/>
      <c r="AZ166" s="83"/>
      <c r="BA166" s="83"/>
      <c r="BB166" s="83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</row>
    <row r="167" spans="15:73"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</row>
    <row r="168" spans="15:73"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</row>
    <row r="169" spans="15:73"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</row>
    <row r="170" spans="15:73"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</row>
    <row r="171" spans="15:73"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</row>
    <row r="172" spans="15:73"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</row>
    <row r="173" spans="15:73"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83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3"/>
      <c r="AZ173" s="83"/>
      <c r="BA173" s="83"/>
      <c r="BB173" s="83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</row>
    <row r="174" spans="15:73"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</row>
    <row r="175" spans="15:73"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83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3"/>
      <c r="AZ175" s="83"/>
      <c r="BA175" s="83"/>
      <c r="BB175" s="83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</row>
    <row r="176" spans="15:73"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</row>
    <row r="177" spans="15:73"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83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3"/>
      <c r="AZ177" s="83"/>
      <c r="BA177" s="83"/>
      <c r="BB177" s="83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</row>
    <row r="178" spans="15:73"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</row>
    <row r="179" spans="15:73"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83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3"/>
      <c r="AZ179" s="83"/>
      <c r="BA179" s="83"/>
      <c r="BB179" s="83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</row>
    <row r="180" spans="15:73"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83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3"/>
      <c r="AZ180" s="83"/>
      <c r="BA180" s="83"/>
      <c r="BB180" s="83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</row>
    <row r="181" spans="15:73"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83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3"/>
      <c r="AZ181" s="83"/>
      <c r="BA181" s="83"/>
      <c r="BB181" s="83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</row>
    <row r="182" spans="15:73"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83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3"/>
      <c r="AZ182" s="83"/>
      <c r="BA182" s="83"/>
      <c r="BB182" s="83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</row>
    <row r="183" spans="15:73"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83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3"/>
      <c r="AZ183" s="83"/>
      <c r="BA183" s="83"/>
      <c r="BB183" s="83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</row>
    <row r="184" spans="15:73"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</row>
    <row r="185" spans="15:73"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</row>
    <row r="186" spans="15:73"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83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3"/>
      <c r="AZ186" s="83"/>
      <c r="BA186" s="83"/>
      <c r="BB186" s="83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</row>
    <row r="187" spans="15:73"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83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3"/>
      <c r="AZ187" s="83"/>
      <c r="BA187" s="83"/>
      <c r="BB187" s="83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</row>
    <row r="188" spans="15:73"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83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3"/>
      <c r="AZ188" s="83"/>
      <c r="BA188" s="83"/>
      <c r="BB188" s="83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</row>
    <row r="189" spans="15:73"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83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3"/>
      <c r="BB189" s="83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</row>
    <row r="190" spans="15:73"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83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3"/>
      <c r="AZ190" s="83"/>
      <c r="BA190" s="83"/>
      <c r="BB190" s="83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</row>
    <row r="191" spans="15:73"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83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3"/>
      <c r="AZ191" s="83"/>
      <c r="BA191" s="83"/>
      <c r="BB191" s="83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</row>
    <row r="192" spans="15:73"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83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3"/>
      <c r="AZ192" s="83"/>
      <c r="BA192" s="83"/>
      <c r="BB192" s="83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</row>
    <row r="193" spans="15:73"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</row>
    <row r="194" spans="15:73"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83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3"/>
      <c r="AZ194" s="83"/>
      <c r="BA194" s="83"/>
      <c r="BB194" s="83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</row>
    <row r="195" spans="15:73"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83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3"/>
      <c r="AZ195" s="83"/>
      <c r="BA195" s="83"/>
      <c r="BB195" s="83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</row>
    <row r="196" spans="15:73"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83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3"/>
      <c r="AZ196" s="83"/>
      <c r="BA196" s="83"/>
      <c r="BB196" s="83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</row>
    <row r="197" spans="15:73"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83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3"/>
      <c r="AZ197" s="83"/>
      <c r="BA197" s="83"/>
      <c r="BB197" s="83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</row>
    <row r="198" spans="15:73"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</row>
    <row r="199" spans="15:73"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83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3"/>
      <c r="AZ199" s="83"/>
      <c r="BA199" s="83"/>
      <c r="BB199" s="83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</row>
    <row r="200" spans="15:73"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83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3"/>
      <c r="AZ200" s="83"/>
      <c r="BA200" s="83"/>
      <c r="BB200" s="83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</row>
    <row r="201" spans="15:73"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83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3"/>
      <c r="AZ201" s="83"/>
      <c r="BA201" s="83"/>
      <c r="BB201" s="83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</row>
    <row r="202" spans="15:73"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83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3"/>
      <c r="AZ202" s="83"/>
      <c r="BA202" s="83"/>
      <c r="BB202" s="83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</row>
    <row r="203" spans="15:73"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83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3"/>
      <c r="AZ203" s="83"/>
      <c r="BA203" s="83"/>
      <c r="BB203" s="83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</row>
    <row r="204" spans="15:73"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3"/>
      <c r="AZ204" s="83"/>
      <c r="BA204" s="83"/>
      <c r="BB204" s="83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</row>
    <row r="205" spans="15:73"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83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3"/>
      <c r="AZ205" s="83"/>
      <c r="BA205" s="83"/>
      <c r="BB205" s="83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</row>
    <row r="206" spans="15:73"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83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3"/>
      <c r="AZ206" s="83"/>
      <c r="BA206" s="83"/>
      <c r="BB206" s="83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</row>
    <row r="207" spans="15:73"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83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3"/>
      <c r="AZ207" s="83"/>
      <c r="BA207" s="83"/>
      <c r="BB207" s="83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</row>
    <row r="208" spans="15:73"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</row>
    <row r="209" spans="15:73"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83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3"/>
      <c r="AZ209" s="83"/>
      <c r="BA209" s="83"/>
      <c r="BB209" s="83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</row>
    <row r="210" spans="15:73"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3"/>
      <c r="AZ210" s="83"/>
      <c r="BA210" s="83"/>
      <c r="BB210" s="83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</row>
    <row r="211" spans="15:73"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83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3"/>
      <c r="AZ211" s="83"/>
      <c r="BA211" s="83"/>
      <c r="BB211" s="83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</row>
    <row r="212" spans="15:73"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83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3"/>
      <c r="AZ212" s="83"/>
      <c r="BA212" s="83"/>
      <c r="BB212" s="83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</row>
    <row r="213" spans="15:73"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83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3"/>
      <c r="AZ213" s="83"/>
      <c r="BA213" s="83"/>
      <c r="BB213" s="83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</row>
    <row r="214" spans="15:73"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83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3"/>
      <c r="AZ214" s="83"/>
      <c r="BA214" s="83"/>
      <c r="BB214" s="83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</row>
    <row r="215" spans="15:73"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83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3"/>
      <c r="AZ215" s="83"/>
      <c r="BA215" s="83"/>
      <c r="BB215" s="83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</row>
    <row r="216" spans="15:73"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83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3"/>
      <c r="AZ216" s="83"/>
      <c r="BA216" s="83"/>
      <c r="BB216" s="83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</row>
    <row r="217" spans="15:73"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83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3"/>
      <c r="AZ217" s="83"/>
      <c r="BA217" s="83"/>
      <c r="BB217" s="83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</row>
    <row r="218" spans="15:73"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83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3"/>
      <c r="AZ218" s="83"/>
      <c r="BA218" s="83"/>
      <c r="BB218" s="83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</row>
    <row r="219" spans="15:73"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</row>
    <row r="220" spans="15:73"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83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3"/>
      <c r="AZ220" s="83"/>
      <c r="BA220" s="83"/>
      <c r="BB220" s="83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</row>
    <row r="221" spans="15:73"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3"/>
      <c r="AZ221" s="83"/>
      <c r="BA221" s="83"/>
      <c r="BB221" s="83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</row>
    <row r="222" spans="15:73"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83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3"/>
      <c r="AZ222" s="83"/>
      <c r="BA222" s="83"/>
      <c r="BB222" s="83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</row>
    <row r="223" spans="15:73"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83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3"/>
      <c r="AZ223" s="83"/>
      <c r="BA223" s="83"/>
      <c r="BB223" s="83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</row>
    <row r="224" spans="15:73"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3"/>
      <c r="AZ224" s="83"/>
      <c r="BA224" s="83"/>
      <c r="BB224" s="83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</row>
    <row r="225" spans="15:73"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83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3"/>
      <c r="AZ225" s="83"/>
      <c r="BA225" s="83"/>
      <c r="BB225" s="83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</row>
    <row r="226" spans="15:73"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83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</row>
    <row r="227" spans="15:73"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3"/>
      <c r="AZ227" s="83"/>
      <c r="BA227" s="83"/>
      <c r="BB227" s="83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</row>
    <row r="228" spans="15:73"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83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3"/>
      <c r="AZ228" s="83"/>
      <c r="BA228" s="83"/>
      <c r="BB228" s="83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</row>
    <row r="229" spans="15:73"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</row>
    <row r="230" spans="15:73"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3"/>
      <c r="AZ230" s="83"/>
      <c r="BA230" s="83"/>
      <c r="BB230" s="83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</row>
    <row r="231" spans="15:73"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83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3"/>
      <c r="AZ231" s="83"/>
      <c r="BA231" s="83"/>
      <c r="BB231" s="83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</row>
    <row r="232" spans="15:73"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83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3"/>
      <c r="AZ232" s="83"/>
      <c r="BA232" s="83"/>
      <c r="BB232" s="83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</row>
    <row r="233" spans="15:73"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</row>
    <row r="234" spans="15:73"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</row>
    <row r="235" spans="15:73"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83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3"/>
      <c r="AZ235" s="83"/>
      <c r="BA235" s="83"/>
      <c r="BB235" s="83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</row>
    <row r="236" spans="15:73"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3"/>
      <c r="AZ236" s="83"/>
      <c r="BA236" s="83"/>
      <c r="BB236" s="83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</row>
    <row r="237" spans="15:73"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83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3"/>
      <c r="AZ237" s="83"/>
      <c r="BA237" s="83"/>
      <c r="BB237" s="83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</row>
    <row r="238" spans="15:73"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83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3"/>
      <c r="AZ238" s="83"/>
      <c r="BA238" s="83"/>
      <c r="BB238" s="83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</row>
    <row r="239" spans="15:73"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83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3"/>
      <c r="AZ239" s="83"/>
      <c r="BA239" s="83"/>
      <c r="BB239" s="83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</row>
    <row r="240" spans="15:73"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83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3"/>
      <c r="AZ240" s="83"/>
      <c r="BA240" s="83"/>
      <c r="BB240" s="83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</row>
    <row r="241" spans="15:73"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83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3"/>
      <c r="AZ241" s="83"/>
      <c r="BA241" s="83"/>
      <c r="BB241" s="83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</row>
    <row r="242" spans="15:73"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83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3"/>
      <c r="AZ242" s="83"/>
      <c r="BA242" s="83"/>
      <c r="BB242" s="83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</row>
    <row r="243" spans="15:73"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83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3"/>
      <c r="AZ243" s="83"/>
      <c r="BA243" s="83"/>
      <c r="BB243" s="83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</row>
    <row r="244" spans="15:73"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83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3"/>
      <c r="AZ244" s="83"/>
      <c r="BA244" s="83"/>
      <c r="BB244" s="83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</row>
    <row r="245" spans="15:73"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83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3"/>
      <c r="AZ245" s="83"/>
      <c r="BA245" s="83"/>
      <c r="BB245" s="83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</row>
    <row r="246" spans="15:73"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83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3"/>
      <c r="AZ246" s="83"/>
      <c r="BA246" s="83"/>
      <c r="BB246" s="83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</row>
    <row r="247" spans="15:73"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83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3"/>
      <c r="AZ247" s="83"/>
      <c r="BA247" s="83"/>
      <c r="BB247" s="83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</row>
    <row r="248" spans="15:73"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83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3"/>
      <c r="AZ248" s="83"/>
      <c r="BA248" s="83"/>
      <c r="BB248" s="83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</row>
    <row r="249" spans="15:73"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83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3"/>
      <c r="AZ249" s="83"/>
      <c r="BA249" s="83"/>
      <c r="BB249" s="83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</row>
    <row r="250" spans="15:73"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83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3"/>
      <c r="AZ250" s="83"/>
      <c r="BA250" s="83"/>
      <c r="BB250" s="83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</row>
    <row r="251" spans="15:73"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83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3"/>
      <c r="AZ251" s="83"/>
      <c r="BA251" s="83"/>
      <c r="BB251" s="83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</row>
    <row r="252" spans="15:73"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83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3"/>
      <c r="BB252" s="83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</row>
    <row r="253" spans="15:73"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83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3"/>
      <c r="AZ253" s="83"/>
      <c r="BA253" s="83"/>
      <c r="BB253" s="83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</row>
    <row r="254" spans="15:73"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83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3"/>
      <c r="AZ254" s="83"/>
      <c r="BA254" s="83"/>
      <c r="BB254" s="83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</row>
    <row r="255" spans="15:73"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83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3"/>
      <c r="AZ255" s="83"/>
      <c r="BA255" s="83"/>
      <c r="BB255" s="83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</row>
    <row r="256" spans="15:73"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83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3"/>
      <c r="AZ256" s="83"/>
      <c r="BA256" s="83"/>
      <c r="BB256" s="83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</row>
    <row r="257" spans="15:73"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3"/>
      <c r="AZ257" s="83"/>
      <c r="BA257" s="83"/>
      <c r="BB257" s="83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</row>
    <row r="258" spans="15:73"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83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3"/>
      <c r="AZ258" s="83"/>
      <c r="BA258" s="83"/>
      <c r="BB258" s="83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</row>
    <row r="259" spans="15:73"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83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3"/>
      <c r="AZ259" s="83"/>
      <c r="BA259" s="83"/>
      <c r="BB259" s="83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</row>
    <row r="260" spans="15:73"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83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3"/>
      <c r="AZ260" s="83"/>
      <c r="BA260" s="83"/>
      <c r="BB260" s="83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</row>
    <row r="261" spans="15:73"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83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3"/>
      <c r="AZ261" s="83"/>
      <c r="BA261" s="83"/>
      <c r="BB261" s="83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</row>
    <row r="262" spans="15:73"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83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3"/>
      <c r="AZ262" s="83"/>
      <c r="BA262" s="83"/>
      <c r="BB262" s="83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</row>
    <row r="263" spans="15:73"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83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3"/>
      <c r="AZ263" s="83"/>
      <c r="BA263" s="83"/>
      <c r="BB263" s="83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</row>
    <row r="264" spans="15:73"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3"/>
      <c r="AZ264" s="83"/>
      <c r="BA264" s="83"/>
      <c r="BB264" s="83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</row>
    <row r="265" spans="15:73"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3"/>
      <c r="AZ265" s="83"/>
      <c r="BA265" s="83"/>
      <c r="BB265" s="83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</row>
    <row r="266" spans="15:73"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83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3"/>
      <c r="AZ266" s="83"/>
      <c r="BA266" s="83"/>
      <c r="BB266" s="83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</row>
    <row r="267" spans="15:73"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83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3"/>
      <c r="AZ267" s="83"/>
      <c r="BA267" s="83"/>
      <c r="BB267" s="83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</row>
    <row r="268" spans="15:73"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83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3"/>
      <c r="AZ268" s="83"/>
      <c r="BA268" s="83"/>
      <c r="BB268" s="83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</row>
    <row r="269" spans="15:73"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3"/>
      <c r="AZ269" s="83"/>
      <c r="BA269" s="83"/>
      <c r="BB269" s="83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</row>
    <row r="270" spans="15:73"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83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3"/>
      <c r="AZ270" s="83"/>
      <c r="BA270" s="83"/>
      <c r="BB270" s="83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</row>
    <row r="271" spans="15:73"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3"/>
      <c r="AZ271" s="83"/>
      <c r="BA271" s="83"/>
      <c r="BB271" s="83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</row>
    <row r="272" spans="15:73"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83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3"/>
      <c r="AZ272" s="83"/>
      <c r="BA272" s="83"/>
      <c r="BB272" s="83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</row>
    <row r="273" spans="15:73"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83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3"/>
      <c r="AZ273" s="83"/>
      <c r="BA273" s="83"/>
      <c r="BB273" s="83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</row>
    <row r="274" spans="15:73"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83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3"/>
      <c r="AZ274" s="83"/>
      <c r="BA274" s="83"/>
      <c r="BB274" s="83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</row>
    <row r="275" spans="15:73"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83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3"/>
      <c r="AZ275" s="83"/>
      <c r="BA275" s="83"/>
      <c r="BB275" s="83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</row>
    <row r="276" spans="15:73"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83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3"/>
      <c r="AZ276" s="83"/>
      <c r="BA276" s="83"/>
      <c r="BB276" s="83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</row>
    <row r="277" spans="15:73"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83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3"/>
      <c r="AZ277" s="83"/>
      <c r="BA277" s="83"/>
      <c r="BB277" s="83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</row>
    <row r="278" spans="15:73"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83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3"/>
      <c r="AZ278" s="83"/>
      <c r="BA278" s="83"/>
      <c r="BB278" s="83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</row>
    <row r="279" spans="15:73"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83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3"/>
      <c r="AZ279" s="83"/>
      <c r="BA279" s="83"/>
      <c r="BB279" s="83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</row>
    <row r="280" spans="15:73"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83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3"/>
      <c r="AZ280" s="83"/>
      <c r="BA280" s="83"/>
      <c r="BB280" s="83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</row>
    <row r="281" spans="15:73"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83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3"/>
      <c r="AZ281" s="83"/>
      <c r="BA281" s="83"/>
      <c r="BB281" s="83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</row>
    <row r="282" spans="15:73"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83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3"/>
      <c r="AZ282" s="83"/>
      <c r="BA282" s="83"/>
      <c r="BB282" s="83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</row>
    <row r="283" spans="15:73"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83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3"/>
      <c r="AZ283" s="83"/>
      <c r="BA283" s="83"/>
      <c r="BB283" s="83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</row>
    <row r="284" spans="15:73"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83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3"/>
      <c r="AZ284" s="83"/>
      <c r="BA284" s="83"/>
      <c r="BB284" s="83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</row>
    <row r="285" spans="15:73"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83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3"/>
      <c r="AZ285" s="83"/>
      <c r="BA285" s="83"/>
      <c r="BB285" s="83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</row>
    <row r="286" spans="15:73"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83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3"/>
      <c r="AZ286" s="83"/>
      <c r="BA286" s="83"/>
      <c r="BB286" s="83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</row>
    <row r="287" spans="15:73"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83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3"/>
      <c r="AZ287" s="83"/>
      <c r="BA287" s="83"/>
      <c r="BB287" s="83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</row>
    <row r="288" spans="15:73"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83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3"/>
      <c r="AZ288" s="83"/>
      <c r="BA288" s="83"/>
      <c r="BB288" s="83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</row>
    <row r="289" spans="15:73"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83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3"/>
      <c r="AZ289" s="83"/>
      <c r="BA289" s="83"/>
      <c r="BB289" s="83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</row>
    <row r="290" spans="15:73"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83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3"/>
      <c r="AZ290" s="83"/>
      <c r="BA290" s="83"/>
      <c r="BB290" s="83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</row>
    <row r="291" spans="15:73"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83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3"/>
      <c r="AZ291" s="83"/>
      <c r="BA291" s="83"/>
      <c r="BB291" s="83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</row>
    <row r="292" spans="15:73"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83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3"/>
      <c r="AZ292" s="83"/>
      <c r="BA292" s="83"/>
      <c r="BB292" s="83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</row>
    <row r="293" spans="15:73"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83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3"/>
      <c r="AZ293" s="83"/>
      <c r="BA293" s="83"/>
      <c r="BB293" s="83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</row>
    <row r="294" spans="15:73"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83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3"/>
      <c r="AZ294" s="83"/>
      <c r="BA294" s="83"/>
      <c r="BB294" s="83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</row>
    <row r="295" spans="15:73"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83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3"/>
      <c r="AZ295" s="83"/>
      <c r="BA295" s="83"/>
      <c r="BB295" s="83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</row>
    <row r="296" spans="15:73"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83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3"/>
      <c r="AZ296" s="83"/>
      <c r="BA296" s="83"/>
      <c r="BB296" s="83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</row>
    <row r="297" spans="15:73"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83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3"/>
      <c r="AZ297" s="83"/>
      <c r="BA297" s="83"/>
      <c r="BB297" s="83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</row>
    <row r="298" spans="15:73"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83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3"/>
      <c r="AZ298" s="83"/>
      <c r="BA298" s="83"/>
      <c r="BB298" s="83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</row>
    <row r="299" spans="15:73"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83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3"/>
      <c r="AZ299" s="83"/>
      <c r="BA299" s="83"/>
      <c r="BB299" s="83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</row>
    <row r="300" spans="15:73"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83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3"/>
      <c r="AZ300" s="83"/>
      <c r="BA300" s="83"/>
      <c r="BB300" s="83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</row>
    <row r="301" spans="15:73"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83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</row>
    <row r="302" spans="15:73"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83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3"/>
      <c r="AZ302" s="83"/>
      <c r="BA302" s="83"/>
      <c r="BB302" s="83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</row>
    <row r="303" spans="15:73"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83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3"/>
      <c r="AZ303" s="83"/>
      <c r="BA303" s="83"/>
      <c r="BB303" s="83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</row>
    <row r="304" spans="15:73"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3"/>
      <c r="AF304" s="83"/>
      <c r="AG304" s="83"/>
      <c r="AH304" s="83"/>
      <c r="AI304" s="83"/>
      <c r="AJ304" s="83"/>
      <c r="AK304" s="83"/>
      <c r="AL304" s="83"/>
      <c r="AM304" s="83"/>
      <c r="AN304" s="83"/>
      <c r="AO304" s="83"/>
      <c r="AP304" s="83"/>
      <c r="AQ304" s="83"/>
      <c r="AR304" s="83"/>
      <c r="AS304" s="83"/>
      <c r="AT304" s="83"/>
      <c r="AU304" s="83"/>
      <c r="AV304" s="83"/>
      <c r="AW304" s="83"/>
      <c r="AX304" s="83"/>
      <c r="AY304" s="83"/>
      <c r="AZ304" s="83"/>
      <c r="BA304" s="83"/>
      <c r="BB304" s="83"/>
      <c r="BC304" s="83"/>
      <c r="BD304" s="83"/>
      <c r="BE304" s="83"/>
      <c r="BF304" s="83"/>
      <c r="BG304" s="83"/>
      <c r="BH304" s="83"/>
      <c r="BI304" s="83"/>
      <c r="BJ304" s="83"/>
      <c r="BK304" s="83"/>
      <c r="BL304" s="83"/>
      <c r="BM304" s="83"/>
      <c r="BN304" s="83"/>
      <c r="BO304" s="83"/>
      <c r="BP304" s="83"/>
      <c r="BQ304" s="83"/>
      <c r="BR304" s="83"/>
      <c r="BS304" s="83"/>
      <c r="BT304" s="83"/>
      <c r="BU304" s="83"/>
    </row>
    <row r="305" spans="15:73"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3"/>
      <c r="AF305" s="83"/>
      <c r="AG305" s="83"/>
      <c r="AH305" s="83"/>
      <c r="AI305" s="83"/>
      <c r="AJ305" s="83"/>
      <c r="AK305" s="83"/>
      <c r="AL305" s="83"/>
      <c r="AM305" s="83"/>
      <c r="AN305" s="83"/>
      <c r="AO305" s="83"/>
      <c r="AP305" s="83"/>
      <c r="AQ305" s="83"/>
      <c r="AR305" s="83"/>
      <c r="AS305" s="83"/>
      <c r="AT305" s="83"/>
      <c r="AU305" s="83"/>
      <c r="AV305" s="83"/>
      <c r="AW305" s="83"/>
      <c r="AX305" s="83"/>
      <c r="AY305" s="83"/>
      <c r="AZ305" s="83"/>
      <c r="BA305" s="83"/>
      <c r="BB305" s="83"/>
      <c r="BC305" s="83"/>
      <c r="BD305" s="83"/>
      <c r="BE305" s="83"/>
      <c r="BF305" s="83"/>
      <c r="BG305" s="83"/>
      <c r="BH305" s="83"/>
      <c r="BI305" s="83"/>
      <c r="BJ305" s="83"/>
      <c r="BK305" s="83"/>
      <c r="BL305" s="83"/>
      <c r="BM305" s="83"/>
      <c r="BN305" s="83"/>
      <c r="BO305" s="83"/>
      <c r="BP305" s="83"/>
      <c r="BQ305" s="83"/>
      <c r="BR305" s="83"/>
      <c r="BS305" s="83"/>
      <c r="BT305" s="83"/>
      <c r="BU305" s="83"/>
    </row>
    <row r="306" spans="15:73"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3"/>
      <c r="AF306" s="83"/>
      <c r="AG306" s="83"/>
      <c r="AH306" s="83"/>
      <c r="AI306" s="83"/>
      <c r="AJ306" s="83"/>
      <c r="AK306" s="83"/>
      <c r="AL306" s="83"/>
      <c r="AM306" s="83"/>
      <c r="AN306" s="83"/>
      <c r="AO306" s="83"/>
      <c r="AP306" s="83"/>
      <c r="AQ306" s="83"/>
      <c r="AR306" s="83"/>
      <c r="AS306" s="83"/>
      <c r="AT306" s="83"/>
      <c r="AU306" s="83"/>
      <c r="AV306" s="83"/>
      <c r="AW306" s="83"/>
      <c r="AX306" s="83"/>
      <c r="AY306" s="83"/>
      <c r="AZ306" s="83"/>
      <c r="BA306" s="83"/>
      <c r="BB306" s="83"/>
      <c r="BC306" s="83"/>
      <c r="BD306" s="83"/>
      <c r="BE306" s="83"/>
      <c r="BF306" s="83"/>
      <c r="BG306" s="83"/>
      <c r="BH306" s="83"/>
      <c r="BI306" s="83"/>
      <c r="BJ306" s="83"/>
      <c r="BK306" s="83"/>
      <c r="BL306" s="83"/>
      <c r="BM306" s="83"/>
      <c r="BN306" s="83"/>
      <c r="BO306" s="83"/>
      <c r="BP306" s="83"/>
      <c r="BQ306" s="83"/>
      <c r="BR306" s="83"/>
      <c r="BS306" s="83"/>
      <c r="BT306" s="83"/>
      <c r="BU306" s="83"/>
    </row>
    <row r="307" spans="15:73"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3"/>
      <c r="AF307" s="83"/>
      <c r="AG307" s="83"/>
      <c r="AH307" s="83"/>
      <c r="AI307" s="83"/>
      <c r="AJ307" s="83"/>
      <c r="AK307" s="83"/>
      <c r="AL307" s="83"/>
      <c r="AM307" s="83"/>
      <c r="AN307" s="83"/>
      <c r="AO307" s="83"/>
      <c r="AP307" s="83"/>
      <c r="AQ307" s="83"/>
      <c r="AR307" s="83"/>
      <c r="AS307" s="83"/>
      <c r="AT307" s="83"/>
      <c r="AU307" s="83"/>
      <c r="AV307" s="83"/>
      <c r="AW307" s="83"/>
      <c r="AX307" s="83"/>
      <c r="AY307" s="83"/>
      <c r="AZ307" s="83"/>
      <c r="BA307" s="83"/>
      <c r="BB307" s="83"/>
      <c r="BC307" s="83"/>
      <c r="BD307" s="83"/>
      <c r="BE307" s="83"/>
      <c r="BF307" s="83"/>
      <c r="BG307" s="83"/>
      <c r="BH307" s="83"/>
      <c r="BI307" s="83"/>
      <c r="BJ307" s="83"/>
      <c r="BK307" s="83"/>
      <c r="BL307" s="83"/>
      <c r="BM307" s="83"/>
      <c r="BN307" s="83"/>
      <c r="BO307" s="83"/>
      <c r="BP307" s="83"/>
      <c r="BQ307" s="83"/>
      <c r="BR307" s="83"/>
      <c r="BS307" s="83"/>
      <c r="BT307" s="83"/>
      <c r="BU307" s="83"/>
    </row>
    <row r="308" spans="15:73"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3"/>
      <c r="AF308" s="83"/>
      <c r="AG308" s="83"/>
      <c r="AH308" s="83"/>
      <c r="AI308" s="83"/>
      <c r="AJ308" s="83"/>
      <c r="AK308" s="83"/>
      <c r="AL308" s="83"/>
      <c r="AM308" s="83"/>
      <c r="AN308" s="83"/>
      <c r="AO308" s="83"/>
      <c r="AP308" s="83"/>
      <c r="AQ308" s="83"/>
      <c r="AR308" s="83"/>
      <c r="AS308" s="83"/>
      <c r="AT308" s="83"/>
      <c r="AU308" s="83"/>
      <c r="AV308" s="83"/>
      <c r="AW308" s="83"/>
      <c r="AX308" s="83"/>
      <c r="AY308" s="83"/>
      <c r="AZ308" s="83"/>
      <c r="BA308" s="83"/>
      <c r="BB308" s="83"/>
      <c r="BC308" s="83"/>
      <c r="BD308" s="83"/>
      <c r="BE308" s="83"/>
      <c r="BF308" s="83"/>
      <c r="BG308" s="83"/>
      <c r="BH308" s="83"/>
      <c r="BI308" s="83"/>
      <c r="BJ308" s="83"/>
      <c r="BK308" s="83"/>
      <c r="BL308" s="83"/>
      <c r="BM308" s="83"/>
      <c r="BN308" s="83"/>
      <c r="BO308" s="83"/>
      <c r="BP308" s="83"/>
      <c r="BQ308" s="83"/>
      <c r="BR308" s="83"/>
      <c r="BS308" s="83"/>
      <c r="BT308" s="83"/>
      <c r="BU308" s="83"/>
    </row>
    <row r="309" spans="15:73"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3"/>
      <c r="AF309" s="83"/>
      <c r="AG309" s="83"/>
      <c r="AH309" s="83"/>
      <c r="AI309" s="83"/>
      <c r="AJ309" s="83"/>
      <c r="AK309" s="83"/>
      <c r="AL309" s="83"/>
      <c r="AM309" s="83"/>
      <c r="AN309" s="83"/>
      <c r="AO309" s="83"/>
      <c r="AP309" s="83"/>
      <c r="AQ309" s="83"/>
      <c r="AR309" s="83"/>
      <c r="AS309" s="83"/>
      <c r="AT309" s="83"/>
      <c r="AU309" s="83"/>
      <c r="AV309" s="83"/>
      <c r="AW309" s="83"/>
      <c r="AX309" s="83"/>
      <c r="AY309" s="83"/>
      <c r="AZ309" s="83"/>
      <c r="BA309" s="83"/>
      <c r="BB309" s="83"/>
      <c r="BC309" s="83"/>
      <c r="BD309" s="83"/>
      <c r="BE309" s="83"/>
      <c r="BF309" s="83"/>
      <c r="BG309" s="83"/>
      <c r="BH309" s="83"/>
      <c r="BI309" s="83"/>
      <c r="BJ309" s="83"/>
      <c r="BK309" s="83"/>
      <c r="BL309" s="83"/>
      <c r="BM309" s="83"/>
      <c r="BN309" s="83"/>
      <c r="BO309" s="83"/>
      <c r="BP309" s="83"/>
      <c r="BQ309" s="83"/>
      <c r="BR309" s="83"/>
      <c r="BS309" s="83"/>
      <c r="BT309" s="83"/>
      <c r="BU309" s="83"/>
    </row>
    <row r="310" spans="15:73"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3"/>
      <c r="AF310" s="83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</row>
    <row r="311" spans="15:73"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3"/>
      <c r="AF311" s="83"/>
      <c r="AG311" s="83"/>
      <c r="AH311" s="83"/>
      <c r="AI311" s="83"/>
      <c r="AJ311" s="83"/>
      <c r="AK311" s="83"/>
      <c r="AL311" s="83"/>
      <c r="AM311" s="83"/>
      <c r="AN311" s="83"/>
      <c r="AO311" s="83"/>
      <c r="AP311" s="83"/>
      <c r="AQ311" s="83"/>
      <c r="AR311" s="83"/>
      <c r="AS311" s="83"/>
      <c r="AT311" s="83"/>
      <c r="AU311" s="83"/>
      <c r="AV311" s="83"/>
      <c r="AW311" s="83"/>
      <c r="AX311" s="83"/>
      <c r="AY311" s="83"/>
      <c r="AZ311" s="83"/>
      <c r="BA311" s="83"/>
      <c r="BB311" s="83"/>
      <c r="BC311" s="83"/>
      <c r="BD311" s="83"/>
      <c r="BE311" s="83"/>
      <c r="BF311" s="83"/>
      <c r="BG311" s="83"/>
      <c r="BH311" s="83"/>
      <c r="BI311" s="83"/>
      <c r="BJ311" s="83"/>
      <c r="BK311" s="83"/>
      <c r="BL311" s="83"/>
      <c r="BM311" s="83"/>
      <c r="BN311" s="83"/>
      <c r="BO311" s="83"/>
      <c r="BP311" s="83"/>
      <c r="BQ311" s="83"/>
      <c r="BR311" s="83"/>
      <c r="BS311" s="83"/>
      <c r="BT311" s="83"/>
      <c r="BU311" s="83"/>
    </row>
    <row r="312" spans="15:73"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3"/>
      <c r="AF312" s="83"/>
      <c r="AG312" s="83"/>
      <c r="AH312" s="83"/>
      <c r="AI312" s="83"/>
      <c r="AJ312" s="83"/>
      <c r="AK312" s="83"/>
      <c r="AL312" s="83"/>
      <c r="AM312" s="83"/>
      <c r="AN312" s="83"/>
      <c r="AO312" s="83"/>
      <c r="AP312" s="83"/>
      <c r="AQ312" s="83"/>
      <c r="AR312" s="83"/>
      <c r="AS312" s="83"/>
      <c r="AT312" s="83"/>
      <c r="AU312" s="83"/>
      <c r="AV312" s="83"/>
      <c r="AW312" s="83"/>
      <c r="AX312" s="83"/>
      <c r="AY312" s="83"/>
      <c r="AZ312" s="83"/>
      <c r="BA312" s="83"/>
      <c r="BB312" s="83"/>
      <c r="BC312" s="83"/>
      <c r="BD312" s="83"/>
      <c r="BE312" s="83"/>
      <c r="BF312" s="83"/>
      <c r="BG312" s="83"/>
      <c r="BH312" s="83"/>
      <c r="BI312" s="83"/>
      <c r="BJ312" s="83"/>
      <c r="BK312" s="83"/>
      <c r="BL312" s="83"/>
      <c r="BM312" s="83"/>
      <c r="BN312" s="83"/>
      <c r="BO312" s="83"/>
      <c r="BP312" s="83"/>
      <c r="BQ312" s="83"/>
      <c r="BR312" s="83"/>
      <c r="BS312" s="83"/>
      <c r="BT312" s="83"/>
      <c r="BU312" s="83"/>
    </row>
    <row r="313" spans="15:73"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3"/>
      <c r="AF313" s="83"/>
      <c r="AG313" s="83"/>
      <c r="AH313" s="83"/>
      <c r="AI313" s="83"/>
      <c r="AJ313" s="83"/>
      <c r="AK313" s="83"/>
      <c r="AL313" s="83"/>
      <c r="AM313" s="83"/>
      <c r="AN313" s="83"/>
      <c r="AO313" s="83"/>
      <c r="AP313" s="83"/>
      <c r="AQ313" s="83"/>
      <c r="AR313" s="83"/>
      <c r="AS313" s="83"/>
      <c r="AT313" s="83"/>
      <c r="AU313" s="83"/>
      <c r="AV313" s="83"/>
      <c r="AW313" s="83"/>
      <c r="AX313" s="83"/>
      <c r="AY313" s="83"/>
      <c r="AZ313" s="83"/>
      <c r="BA313" s="83"/>
      <c r="BB313" s="83"/>
      <c r="BC313" s="83"/>
      <c r="BD313" s="83"/>
      <c r="BE313" s="83"/>
      <c r="BF313" s="83"/>
      <c r="BG313" s="83"/>
      <c r="BH313" s="83"/>
      <c r="BI313" s="83"/>
      <c r="BJ313" s="83"/>
      <c r="BK313" s="83"/>
      <c r="BL313" s="83"/>
      <c r="BM313" s="83"/>
      <c r="BN313" s="83"/>
      <c r="BO313" s="83"/>
      <c r="BP313" s="83"/>
      <c r="BQ313" s="83"/>
      <c r="BR313" s="83"/>
      <c r="BS313" s="83"/>
      <c r="BT313" s="83"/>
      <c r="BU313" s="83"/>
    </row>
    <row r="314" spans="15:73"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3"/>
      <c r="AF314" s="83"/>
      <c r="AG314" s="83"/>
      <c r="AH314" s="83"/>
      <c r="AI314" s="83"/>
      <c r="AJ314" s="83"/>
      <c r="AK314" s="83"/>
      <c r="AL314" s="83"/>
      <c r="AM314" s="83"/>
      <c r="AN314" s="83"/>
      <c r="AO314" s="83"/>
      <c r="AP314" s="83"/>
      <c r="AQ314" s="83"/>
      <c r="AR314" s="83"/>
      <c r="AS314" s="83"/>
      <c r="AT314" s="83"/>
      <c r="AU314" s="83"/>
      <c r="AV314" s="83"/>
      <c r="AW314" s="83"/>
      <c r="AX314" s="83"/>
      <c r="AY314" s="83"/>
      <c r="AZ314" s="83"/>
      <c r="BA314" s="83"/>
      <c r="BB314" s="83"/>
      <c r="BC314" s="83"/>
      <c r="BD314" s="83"/>
      <c r="BE314" s="83"/>
      <c r="BF314" s="83"/>
      <c r="BG314" s="83"/>
      <c r="BH314" s="83"/>
      <c r="BI314" s="83"/>
      <c r="BJ314" s="83"/>
      <c r="BK314" s="83"/>
      <c r="BL314" s="83"/>
      <c r="BM314" s="83"/>
      <c r="BN314" s="83"/>
      <c r="BO314" s="83"/>
      <c r="BP314" s="83"/>
      <c r="BQ314" s="83"/>
      <c r="BR314" s="83"/>
      <c r="BS314" s="83"/>
      <c r="BT314" s="83"/>
      <c r="BU314" s="83"/>
    </row>
    <row r="315" spans="15:73"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3"/>
      <c r="AG315" s="83"/>
      <c r="AH315" s="83"/>
      <c r="AI315" s="83"/>
      <c r="AJ315" s="83"/>
      <c r="AK315" s="83"/>
      <c r="AL315" s="83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3"/>
      <c r="BB315" s="83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3"/>
      <c r="BR315" s="83"/>
      <c r="BS315" s="83"/>
      <c r="BT315" s="83"/>
      <c r="BU315" s="83"/>
    </row>
    <row r="316" spans="15:73"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3"/>
      <c r="AF316" s="83"/>
      <c r="AG316" s="83"/>
      <c r="AH316" s="83"/>
      <c r="AI316" s="83"/>
      <c r="AJ316" s="83"/>
      <c r="AK316" s="83"/>
      <c r="AL316" s="83"/>
      <c r="AM316" s="83"/>
      <c r="AN316" s="83"/>
      <c r="AO316" s="83"/>
      <c r="AP316" s="83"/>
      <c r="AQ316" s="83"/>
      <c r="AR316" s="83"/>
      <c r="AS316" s="83"/>
      <c r="AT316" s="83"/>
      <c r="AU316" s="83"/>
      <c r="AV316" s="83"/>
      <c r="AW316" s="83"/>
      <c r="AX316" s="83"/>
      <c r="AY316" s="83"/>
      <c r="AZ316" s="83"/>
      <c r="BA316" s="83"/>
      <c r="BB316" s="83"/>
      <c r="BC316" s="83"/>
      <c r="BD316" s="83"/>
      <c r="BE316" s="83"/>
      <c r="BF316" s="83"/>
      <c r="BG316" s="83"/>
      <c r="BH316" s="83"/>
      <c r="BI316" s="83"/>
      <c r="BJ316" s="83"/>
      <c r="BK316" s="83"/>
      <c r="BL316" s="83"/>
      <c r="BM316" s="83"/>
      <c r="BN316" s="83"/>
      <c r="BO316" s="83"/>
      <c r="BP316" s="83"/>
      <c r="BQ316" s="83"/>
      <c r="BR316" s="83"/>
      <c r="BS316" s="83"/>
      <c r="BT316" s="83"/>
      <c r="BU316" s="83"/>
    </row>
    <row r="317" spans="15:73"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83"/>
      <c r="AN317" s="83"/>
      <c r="AO317" s="83"/>
      <c r="AP317" s="83"/>
      <c r="AQ317" s="83"/>
      <c r="AR317" s="83"/>
      <c r="AS317" s="83"/>
      <c r="AT317" s="83"/>
      <c r="AU317" s="83"/>
      <c r="AV317" s="83"/>
      <c r="AW317" s="83"/>
      <c r="AX317" s="83"/>
      <c r="AY317" s="83"/>
      <c r="AZ317" s="83"/>
      <c r="BA317" s="83"/>
      <c r="BB317" s="83"/>
      <c r="BC317" s="83"/>
      <c r="BD317" s="83"/>
      <c r="BE317" s="83"/>
      <c r="BF317" s="83"/>
      <c r="BG317" s="83"/>
      <c r="BH317" s="83"/>
      <c r="BI317" s="83"/>
      <c r="BJ317" s="83"/>
      <c r="BK317" s="83"/>
      <c r="BL317" s="83"/>
      <c r="BM317" s="83"/>
      <c r="BN317" s="83"/>
      <c r="BO317" s="83"/>
      <c r="BP317" s="83"/>
      <c r="BQ317" s="83"/>
      <c r="BR317" s="83"/>
      <c r="BS317" s="83"/>
      <c r="BT317" s="83"/>
      <c r="BU317" s="83"/>
    </row>
    <row r="318" spans="15:73"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3"/>
      <c r="AF318" s="83"/>
      <c r="AG318" s="83"/>
      <c r="AH318" s="83"/>
      <c r="AI318" s="83"/>
      <c r="AJ318" s="83"/>
      <c r="AK318" s="83"/>
      <c r="AL318" s="83"/>
      <c r="AM318" s="83"/>
      <c r="AN318" s="83"/>
      <c r="AO318" s="83"/>
      <c r="AP318" s="83"/>
      <c r="AQ318" s="83"/>
      <c r="AR318" s="83"/>
      <c r="AS318" s="83"/>
      <c r="AT318" s="83"/>
      <c r="AU318" s="83"/>
      <c r="AV318" s="83"/>
      <c r="AW318" s="83"/>
      <c r="AX318" s="83"/>
      <c r="AY318" s="83"/>
      <c r="AZ318" s="83"/>
      <c r="BA318" s="83"/>
      <c r="BB318" s="83"/>
      <c r="BC318" s="83"/>
      <c r="BD318" s="83"/>
      <c r="BE318" s="83"/>
      <c r="BF318" s="83"/>
      <c r="BG318" s="83"/>
      <c r="BH318" s="83"/>
      <c r="BI318" s="83"/>
      <c r="BJ318" s="83"/>
      <c r="BK318" s="83"/>
      <c r="BL318" s="83"/>
      <c r="BM318" s="83"/>
      <c r="BN318" s="83"/>
      <c r="BO318" s="83"/>
      <c r="BP318" s="83"/>
      <c r="BQ318" s="83"/>
      <c r="BR318" s="83"/>
      <c r="BS318" s="83"/>
      <c r="BT318" s="83"/>
      <c r="BU318" s="83"/>
    </row>
    <row r="319" spans="15:73"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3"/>
      <c r="AF319" s="83"/>
      <c r="AG319" s="83"/>
      <c r="AH319" s="83"/>
      <c r="AI319" s="83"/>
      <c r="AJ319" s="83"/>
      <c r="AK319" s="83"/>
      <c r="AL319" s="83"/>
      <c r="AM319" s="83"/>
      <c r="AN319" s="83"/>
      <c r="AO319" s="83"/>
      <c r="AP319" s="83"/>
      <c r="AQ319" s="83"/>
      <c r="AR319" s="83"/>
      <c r="AS319" s="83"/>
      <c r="AT319" s="83"/>
      <c r="AU319" s="83"/>
      <c r="AV319" s="83"/>
      <c r="AW319" s="83"/>
      <c r="AX319" s="83"/>
      <c r="AY319" s="83"/>
      <c r="AZ319" s="83"/>
      <c r="BA319" s="83"/>
      <c r="BB319" s="83"/>
      <c r="BC319" s="83"/>
      <c r="BD319" s="83"/>
      <c r="BE319" s="83"/>
      <c r="BF319" s="83"/>
      <c r="BG319" s="83"/>
      <c r="BH319" s="83"/>
      <c r="BI319" s="83"/>
      <c r="BJ319" s="83"/>
      <c r="BK319" s="83"/>
      <c r="BL319" s="83"/>
      <c r="BM319" s="83"/>
      <c r="BN319" s="83"/>
      <c r="BO319" s="83"/>
      <c r="BP319" s="83"/>
      <c r="BQ319" s="83"/>
      <c r="BR319" s="83"/>
      <c r="BS319" s="83"/>
      <c r="BT319" s="83"/>
      <c r="BU319" s="83"/>
    </row>
    <row r="320" spans="15:73"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3"/>
      <c r="AF320" s="83"/>
      <c r="AG320" s="83"/>
      <c r="AH320" s="83"/>
      <c r="AI320" s="83"/>
      <c r="AJ320" s="83"/>
      <c r="AK320" s="83"/>
      <c r="AL320" s="83"/>
      <c r="AM320" s="83"/>
      <c r="AN320" s="83"/>
      <c r="AO320" s="83"/>
      <c r="AP320" s="83"/>
      <c r="AQ320" s="83"/>
      <c r="AR320" s="83"/>
      <c r="AS320" s="83"/>
      <c r="AT320" s="83"/>
      <c r="AU320" s="83"/>
      <c r="AV320" s="83"/>
      <c r="AW320" s="83"/>
      <c r="AX320" s="83"/>
      <c r="AY320" s="83"/>
      <c r="AZ320" s="83"/>
      <c r="BA320" s="83"/>
      <c r="BB320" s="83"/>
      <c r="BC320" s="83"/>
      <c r="BD320" s="83"/>
      <c r="BE320" s="83"/>
      <c r="BF320" s="83"/>
      <c r="BG320" s="83"/>
      <c r="BH320" s="83"/>
      <c r="BI320" s="83"/>
      <c r="BJ320" s="83"/>
      <c r="BK320" s="83"/>
      <c r="BL320" s="83"/>
      <c r="BM320" s="83"/>
      <c r="BN320" s="83"/>
      <c r="BO320" s="83"/>
      <c r="BP320" s="83"/>
      <c r="BQ320" s="83"/>
      <c r="BR320" s="83"/>
      <c r="BS320" s="83"/>
      <c r="BT320" s="83"/>
      <c r="BU320" s="83"/>
    </row>
    <row r="321" spans="15:73"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3"/>
      <c r="AF321" s="83"/>
      <c r="AG321" s="83"/>
      <c r="AH321" s="83"/>
      <c r="AI321" s="83"/>
      <c r="AJ321" s="83"/>
      <c r="AK321" s="83"/>
      <c r="AL321" s="83"/>
      <c r="AM321" s="83"/>
      <c r="AN321" s="83"/>
      <c r="AO321" s="83"/>
      <c r="AP321" s="83"/>
      <c r="AQ321" s="83"/>
      <c r="AR321" s="83"/>
      <c r="AS321" s="83"/>
      <c r="AT321" s="83"/>
      <c r="AU321" s="83"/>
      <c r="AV321" s="83"/>
      <c r="AW321" s="83"/>
      <c r="AX321" s="83"/>
      <c r="AY321" s="83"/>
      <c r="AZ321" s="83"/>
      <c r="BA321" s="83"/>
      <c r="BB321" s="83"/>
      <c r="BC321" s="83"/>
      <c r="BD321" s="83"/>
      <c r="BE321" s="83"/>
      <c r="BF321" s="83"/>
      <c r="BG321" s="83"/>
      <c r="BH321" s="83"/>
      <c r="BI321" s="83"/>
      <c r="BJ321" s="83"/>
      <c r="BK321" s="83"/>
      <c r="BL321" s="83"/>
      <c r="BM321" s="83"/>
      <c r="BN321" s="83"/>
      <c r="BO321" s="83"/>
      <c r="BP321" s="83"/>
      <c r="BQ321" s="83"/>
      <c r="BR321" s="83"/>
      <c r="BS321" s="83"/>
      <c r="BT321" s="83"/>
      <c r="BU321" s="83"/>
    </row>
    <row r="322" spans="15:73"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3"/>
      <c r="AF322" s="83"/>
      <c r="AG322" s="83"/>
      <c r="AH322" s="83"/>
      <c r="AI322" s="83"/>
      <c r="AJ322" s="83"/>
      <c r="AK322" s="83"/>
      <c r="AL322" s="83"/>
      <c r="AM322" s="83"/>
      <c r="AN322" s="83"/>
      <c r="AO322" s="83"/>
      <c r="AP322" s="83"/>
      <c r="AQ322" s="83"/>
      <c r="AR322" s="83"/>
      <c r="AS322" s="83"/>
      <c r="AT322" s="83"/>
      <c r="AU322" s="83"/>
      <c r="AV322" s="83"/>
      <c r="AW322" s="83"/>
      <c r="AX322" s="83"/>
      <c r="AY322" s="83"/>
      <c r="AZ322" s="83"/>
      <c r="BA322" s="83"/>
      <c r="BB322" s="83"/>
      <c r="BC322" s="83"/>
      <c r="BD322" s="83"/>
      <c r="BE322" s="83"/>
      <c r="BF322" s="83"/>
      <c r="BG322" s="83"/>
      <c r="BH322" s="83"/>
      <c r="BI322" s="83"/>
      <c r="BJ322" s="83"/>
      <c r="BK322" s="83"/>
      <c r="BL322" s="83"/>
      <c r="BM322" s="83"/>
      <c r="BN322" s="83"/>
      <c r="BO322" s="83"/>
      <c r="BP322" s="83"/>
      <c r="BQ322" s="83"/>
      <c r="BR322" s="83"/>
      <c r="BS322" s="83"/>
      <c r="BT322" s="83"/>
      <c r="BU322" s="83"/>
    </row>
    <row r="323" spans="15:73"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3"/>
      <c r="AF323" s="83"/>
      <c r="AG323" s="83"/>
      <c r="AH323" s="83"/>
      <c r="AI323" s="83"/>
      <c r="AJ323" s="83"/>
      <c r="AK323" s="83"/>
      <c r="AL323" s="83"/>
      <c r="AM323" s="83"/>
      <c r="AN323" s="83"/>
      <c r="AO323" s="83"/>
      <c r="AP323" s="83"/>
      <c r="AQ323" s="83"/>
      <c r="AR323" s="83"/>
      <c r="AS323" s="83"/>
      <c r="AT323" s="83"/>
      <c r="AU323" s="83"/>
      <c r="AV323" s="83"/>
      <c r="AW323" s="83"/>
      <c r="AX323" s="83"/>
      <c r="AY323" s="83"/>
      <c r="AZ323" s="83"/>
      <c r="BA323" s="83"/>
      <c r="BB323" s="83"/>
      <c r="BC323" s="83"/>
      <c r="BD323" s="83"/>
      <c r="BE323" s="83"/>
      <c r="BF323" s="83"/>
      <c r="BG323" s="83"/>
      <c r="BH323" s="83"/>
      <c r="BI323" s="83"/>
      <c r="BJ323" s="83"/>
      <c r="BK323" s="83"/>
      <c r="BL323" s="83"/>
      <c r="BM323" s="83"/>
      <c r="BN323" s="83"/>
      <c r="BO323" s="83"/>
      <c r="BP323" s="83"/>
      <c r="BQ323" s="83"/>
      <c r="BR323" s="83"/>
      <c r="BS323" s="83"/>
      <c r="BT323" s="83"/>
      <c r="BU323" s="83"/>
    </row>
    <row r="324" spans="15:73"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3"/>
      <c r="AF324" s="83"/>
      <c r="AG324" s="83"/>
      <c r="AH324" s="83"/>
      <c r="AI324" s="83"/>
      <c r="AJ324" s="83"/>
      <c r="AK324" s="83"/>
      <c r="AL324" s="83"/>
      <c r="AM324" s="83"/>
      <c r="AN324" s="83"/>
      <c r="AO324" s="83"/>
      <c r="AP324" s="83"/>
      <c r="AQ324" s="83"/>
      <c r="AR324" s="83"/>
      <c r="AS324" s="83"/>
      <c r="AT324" s="83"/>
      <c r="AU324" s="83"/>
      <c r="AV324" s="83"/>
      <c r="AW324" s="83"/>
      <c r="AX324" s="83"/>
      <c r="AY324" s="83"/>
      <c r="AZ324" s="83"/>
      <c r="BA324" s="83"/>
      <c r="BB324" s="83"/>
      <c r="BC324" s="83"/>
      <c r="BD324" s="83"/>
      <c r="BE324" s="83"/>
      <c r="BF324" s="83"/>
      <c r="BG324" s="83"/>
      <c r="BH324" s="83"/>
      <c r="BI324" s="83"/>
      <c r="BJ324" s="83"/>
      <c r="BK324" s="83"/>
      <c r="BL324" s="83"/>
      <c r="BM324" s="83"/>
      <c r="BN324" s="83"/>
      <c r="BO324" s="83"/>
      <c r="BP324" s="83"/>
      <c r="BQ324" s="83"/>
      <c r="BR324" s="83"/>
      <c r="BS324" s="83"/>
      <c r="BT324" s="83"/>
      <c r="BU324" s="83"/>
    </row>
    <row r="325" spans="15:73"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3"/>
      <c r="AF325" s="83"/>
      <c r="AG325" s="83"/>
      <c r="AH325" s="83"/>
      <c r="AI325" s="83"/>
      <c r="AJ325" s="83"/>
      <c r="AK325" s="83"/>
      <c r="AL325" s="83"/>
      <c r="AM325" s="83"/>
      <c r="AN325" s="83"/>
      <c r="AO325" s="83"/>
      <c r="AP325" s="83"/>
      <c r="AQ325" s="83"/>
      <c r="AR325" s="83"/>
      <c r="AS325" s="83"/>
      <c r="AT325" s="83"/>
      <c r="AU325" s="83"/>
      <c r="AV325" s="83"/>
      <c r="AW325" s="83"/>
      <c r="AX325" s="83"/>
      <c r="AY325" s="83"/>
      <c r="AZ325" s="83"/>
      <c r="BA325" s="83"/>
      <c r="BB325" s="83"/>
      <c r="BC325" s="83"/>
      <c r="BD325" s="83"/>
      <c r="BE325" s="83"/>
      <c r="BF325" s="83"/>
      <c r="BG325" s="83"/>
      <c r="BH325" s="83"/>
      <c r="BI325" s="83"/>
      <c r="BJ325" s="83"/>
      <c r="BK325" s="83"/>
      <c r="BL325" s="83"/>
      <c r="BM325" s="83"/>
      <c r="BN325" s="83"/>
      <c r="BO325" s="83"/>
      <c r="BP325" s="83"/>
      <c r="BQ325" s="83"/>
      <c r="BR325" s="83"/>
      <c r="BS325" s="83"/>
      <c r="BT325" s="83"/>
      <c r="BU325" s="83"/>
    </row>
    <row r="326" spans="15:73"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3"/>
      <c r="AF326" s="83"/>
      <c r="AG326" s="83"/>
      <c r="AH326" s="83"/>
      <c r="AI326" s="83"/>
      <c r="AJ326" s="83"/>
      <c r="AK326" s="83"/>
      <c r="AL326" s="83"/>
      <c r="AM326" s="83"/>
      <c r="AN326" s="83"/>
      <c r="AO326" s="83"/>
      <c r="AP326" s="83"/>
      <c r="AQ326" s="83"/>
      <c r="AR326" s="83"/>
      <c r="AS326" s="83"/>
      <c r="AT326" s="83"/>
      <c r="AU326" s="83"/>
      <c r="AV326" s="83"/>
      <c r="AW326" s="83"/>
      <c r="AX326" s="83"/>
      <c r="AY326" s="83"/>
      <c r="AZ326" s="83"/>
      <c r="BA326" s="83"/>
      <c r="BB326" s="83"/>
      <c r="BC326" s="83"/>
      <c r="BD326" s="83"/>
      <c r="BE326" s="83"/>
      <c r="BF326" s="83"/>
      <c r="BG326" s="83"/>
      <c r="BH326" s="83"/>
      <c r="BI326" s="83"/>
      <c r="BJ326" s="83"/>
      <c r="BK326" s="83"/>
      <c r="BL326" s="83"/>
      <c r="BM326" s="83"/>
      <c r="BN326" s="83"/>
      <c r="BO326" s="83"/>
      <c r="BP326" s="83"/>
      <c r="BQ326" s="83"/>
      <c r="BR326" s="83"/>
      <c r="BS326" s="83"/>
      <c r="BT326" s="83"/>
      <c r="BU326" s="83"/>
    </row>
    <row r="327" spans="15:73"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3"/>
      <c r="AF327" s="83"/>
      <c r="AG327" s="83"/>
      <c r="AH327" s="83"/>
      <c r="AI327" s="83"/>
      <c r="AJ327" s="83"/>
      <c r="AK327" s="83"/>
      <c r="AL327" s="83"/>
      <c r="AM327" s="83"/>
      <c r="AN327" s="83"/>
      <c r="AO327" s="83"/>
      <c r="AP327" s="83"/>
      <c r="AQ327" s="83"/>
      <c r="AR327" s="83"/>
      <c r="AS327" s="83"/>
      <c r="AT327" s="83"/>
      <c r="AU327" s="83"/>
      <c r="AV327" s="83"/>
      <c r="AW327" s="83"/>
      <c r="AX327" s="83"/>
      <c r="AY327" s="83"/>
      <c r="AZ327" s="83"/>
      <c r="BA327" s="83"/>
      <c r="BB327" s="83"/>
      <c r="BC327" s="83"/>
      <c r="BD327" s="83"/>
      <c r="BE327" s="83"/>
      <c r="BF327" s="83"/>
      <c r="BG327" s="83"/>
      <c r="BH327" s="83"/>
      <c r="BI327" s="83"/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</row>
    <row r="328" spans="15:73"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3"/>
      <c r="AF328" s="83"/>
      <c r="AG328" s="83"/>
      <c r="AH328" s="83"/>
      <c r="AI328" s="83"/>
      <c r="AJ328" s="83"/>
      <c r="AK328" s="83"/>
      <c r="AL328" s="83"/>
      <c r="AM328" s="83"/>
      <c r="AN328" s="83"/>
      <c r="AO328" s="83"/>
      <c r="AP328" s="83"/>
      <c r="AQ328" s="83"/>
      <c r="AR328" s="83"/>
      <c r="AS328" s="83"/>
      <c r="AT328" s="83"/>
      <c r="AU328" s="83"/>
      <c r="AV328" s="83"/>
      <c r="AW328" s="83"/>
      <c r="AX328" s="83"/>
      <c r="AY328" s="83"/>
      <c r="AZ328" s="83"/>
      <c r="BA328" s="83"/>
      <c r="BB328" s="83"/>
      <c r="BC328" s="83"/>
      <c r="BD328" s="83"/>
      <c r="BE328" s="83"/>
      <c r="BF328" s="83"/>
      <c r="BG328" s="83"/>
      <c r="BH328" s="83"/>
      <c r="BI328" s="83"/>
      <c r="BJ328" s="83"/>
      <c r="BK328" s="83"/>
      <c r="BL328" s="83"/>
      <c r="BM328" s="83"/>
      <c r="BN328" s="83"/>
      <c r="BO328" s="83"/>
      <c r="BP328" s="83"/>
      <c r="BQ328" s="83"/>
      <c r="BR328" s="83"/>
      <c r="BS328" s="83"/>
      <c r="BT328" s="83"/>
      <c r="BU328" s="83"/>
    </row>
    <row r="329" spans="15:73"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3"/>
      <c r="AF329" s="83"/>
      <c r="AG329" s="83"/>
      <c r="AH329" s="83"/>
      <c r="AI329" s="83"/>
      <c r="AJ329" s="83"/>
      <c r="AK329" s="83"/>
      <c r="AL329" s="83"/>
      <c r="AM329" s="83"/>
      <c r="AN329" s="83"/>
      <c r="AO329" s="83"/>
      <c r="AP329" s="83"/>
      <c r="AQ329" s="83"/>
      <c r="AR329" s="83"/>
      <c r="AS329" s="83"/>
      <c r="AT329" s="83"/>
      <c r="AU329" s="83"/>
      <c r="AV329" s="83"/>
      <c r="AW329" s="83"/>
      <c r="AX329" s="83"/>
      <c r="AY329" s="83"/>
      <c r="AZ329" s="83"/>
      <c r="BA329" s="83"/>
      <c r="BB329" s="83"/>
      <c r="BC329" s="83"/>
      <c r="BD329" s="83"/>
      <c r="BE329" s="83"/>
      <c r="BF329" s="83"/>
      <c r="BG329" s="83"/>
      <c r="BH329" s="83"/>
      <c r="BI329" s="83"/>
      <c r="BJ329" s="83"/>
      <c r="BK329" s="83"/>
      <c r="BL329" s="83"/>
      <c r="BM329" s="83"/>
      <c r="BN329" s="83"/>
      <c r="BO329" s="83"/>
      <c r="BP329" s="83"/>
      <c r="BQ329" s="83"/>
      <c r="BR329" s="83"/>
      <c r="BS329" s="83"/>
      <c r="BT329" s="83"/>
      <c r="BU329" s="83"/>
    </row>
    <row r="330" spans="15:73"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3"/>
      <c r="AF330" s="83"/>
      <c r="AG330" s="83"/>
      <c r="AH330" s="83"/>
      <c r="AI330" s="83"/>
      <c r="AJ330" s="83"/>
      <c r="AK330" s="83"/>
      <c r="AL330" s="83"/>
      <c r="AM330" s="83"/>
      <c r="AN330" s="83"/>
      <c r="AO330" s="83"/>
      <c r="AP330" s="83"/>
      <c r="AQ330" s="83"/>
      <c r="AR330" s="83"/>
      <c r="AS330" s="83"/>
      <c r="AT330" s="83"/>
      <c r="AU330" s="83"/>
      <c r="AV330" s="83"/>
      <c r="AW330" s="83"/>
      <c r="AX330" s="83"/>
      <c r="AY330" s="83"/>
      <c r="AZ330" s="83"/>
      <c r="BA330" s="83"/>
      <c r="BB330" s="83"/>
      <c r="BC330" s="83"/>
      <c r="BD330" s="83"/>
      <c r="BE330" s="83"/>
      <c r="BF330" s="83"/>
      <c r="BG330" s="83"/>
      <c r="BH330" s="83"/>
      <c r="BI330" s="83"/>
      <c r="BJ330" s="83"/>
      <c r="BK330" s="83"/>
      <c r="BL330" s="83"/>
      <c r="BM330" s="83"/>
      <c r="BN330" s="83"/>
      <c r="BO330" s="83"/>
      <c r="BP330" s="83"/>
      <c r="BQ330" s="83"/>
      <c r="BR330" s="83"/>
      <c r="BS330" s="83"/>
      <c r="BT330" s="83"/>
      <c r="BU330" s="83"/>
    </row>
    <row r="331" spans="15:73"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3"/>
      <c r="AF331" s="83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</row>
    <row r="332" spans="15:73"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3"/>
      <c r="AF332" s="83"/>
      <c r="AG332" s="83"/>
      <c r="AH332" s="83"/>
      <c r="AI332" s="83"/>
      <c r="AJ332" s="83"/>
      <c r="AK332" s="83"/>
      <c r="AL332" s="83"/>
      <c r="AM332" s="83"/>
      <c r="AN332" s="83"/>
      <c r="AO332" s="83"/>
      <c r="AP332" s="83"/>
      <c r="AQ332" s="83"/>
      <c r="AR332" s="83"/>
      <c r="AS332" s="83"/>
      <c r="AT332" s="83"/>
      <c r="AU332" s="83"/>
      <c r="AV332" s="83"/>
      <c r="AW332" s="83"/>
      <c r="AX332" s="83"/>
      <c r="AY332" s="83"/>
      <c r="AZ332" s="83"/>
      <c r="BA332" s="83"/>
      <c r="BB332" s="83"/>
      <c r="BC332" s="83"/>
      <c r="BD332" s="83"/>
      <c r="BE332" s="83"/>
      <c r="BF332" s="83"/>
      <c r="BG332" s="83"/>
      <c r="BH332" s="83"/>
      <c r="BI332" s="83"/>
      <c r="BJ332" s="83"/>
      <c r="BK332" s="83"/>
      <c r="BL332" s="83"/>
      <c r="BM332" s="83"/>
      <c r="BN332" s="83"/>
      <c r="BO332" s="83"/>
      <c r="BP332" s="83"/>
      <c r="BQ332" s="83"/>
      <c r="BR332" s="83"/>
      <c r="BS332" s="83"/>
      <c r="BT332" s="83"/>
      <c r="BU332" s="83"/>
    </row>
    <row r="333" spans="15:73"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3"/>
      <c r="AF333" s="83"/>
      <c r="AG333" s="83"/>
      <c r="AH333" s="83"/>
      <c r="AI333" s="83"/>
      <c r="AJ333" s="83"/>
      <c r="AK333" s="83"/>
      <c r="AL333" s="83"/>
      <c r="AM333" s="83"/>
      <c r="AN333" s="83"/>
      <c r="AO333" s="83"/>
      <c r="AP333" s="83"/>
      <c r="AQ333" s="83"/>
      <c r="AR333" s="83"/>
      <c r="AS333" s="83"/>
      <c r="AT333" s="83"/>
      <c r="AU333" s="83"/>
      <c r="AV333" s="83"/>
      <c r="AW333" s="83"/>
      <c r="AX333" s="83"/>
      <c r="AY333" s="83"/>
      <c r="AZ333" s="83"/>
      <c r="BA333" s="83"/>
      <c r="BB333" s="83"/>
      <c r="BC333" s="83"/>
      <c r="BD333" s="83"/>
      <c r="BE333" s="83"/>
      <c r="BF333" s="83"/>
      <c r="BG333" s="83"/>
      <c r="BH333" s="83"/>
      <c r="BI333" s="83"/>
      <c r="BJ333" s="83"/>
      <c r="BK333" s="83"/>
      <c r="BL333" s="83"/>
      <c r="BM333" s="83"/>
      <c r="BN333" s="83"/>
      <c r="BO333" s="83"/>
      <c r="BP333" s="83"/>
      <c r="BQ333" s="83"/>
      <c r="BR333" s="83"/>
      <c r="BS333" s="83"/>
      <c r="BT333" s="83"/>
      <c r="BU333" s="83"/>
    </row>
    <row r="334" spans="15:73"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3"/>
      <c r="AF334" s="83"/>
      <c r="AG334" s="83"/>
      <c r="AH334" s="83"/>
      <c r="AI334" s="83"/>
      <c r="AJ334" s="83"/>
      <c r="AK334" s="83"/>
      <c r="AL334" s="83"/>
      <c r="AM334" s="83"/>
      <c r="AN334" s="83"/>
      <c r="AO334" s="83"/>
      <c r="AP334" s="83"/>
      <c r="AQ334" s="83"/>
      <c r="AR334" s="83"/>
      <c r="AS334" s="83"/>
      <c r="AT334" s="83"/>
      <c r="AU334" s="83"/>
      <c r="AV334" s="83"/>
      <c r="AW334" s="83"/>
      <c r="AX334" s="83"/>
      <c r="AY334" s="83"/>
      <c r="AZ334" s="83"/>
      <c r="BA334" s="83"/>
      <c r="BB334" s="83"/>
      <c r="BC334" s="83"/>
      <c r="BD334" s="83"/>
      <c r="BE334" s="83"/>
      <c r="BF334" s="83"/>
      <c r="BG334" s="83"/>
      <c r="BH334" s="83"/>
      <c r="BI334" s="83"/>
      <c r="BJ334" s="83"/>
      <c r="BK334" s="83"/>
      <c r="BL334" s="83"/>
      <c r="BM334" s="83"/>
      <c r="BN334" s="83"/>
      <c r="BO334" s="83"/>
      <c r="BP334" s="83"/>
      <c r="BQ334" s="83"/>
      <c r="BR334" s="83"/>
      <c r="BS334" s="83"/>
      <c r="BT334" s="83"/>
      <c r="BU334" s="83"/>
    </row>
    <row r="335" spans="15:73"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3"/>
      <c r="AF335" s="83"/>
      <c r="AG335" s="83"/>
      <c r="AH335" s="83"/>
      <c r="AI335" s="83"/>
      <c r="AJ335" s="83"/>
      <c r="AK335" s="83"/>
      <c r="AL335" s="83"/>
      <c r="AM335" s="83"/>
      <c r="AN335" s="83"/>
      <c r="AO335" s="83"/>
      <c r="AP335" s="83"/>
      <c r="AQ335" s="83"/>
      <c r="AR335" s="83"/>
      <c r="AS335" s="83"/>
      <c r="AT335" s="83"/>
      <c r="AU335" s="83"/>
      <c r="AV335" s="83"/>
      <c r="AW335" s="83"/>
      <c r="AX335" s="83"/>
      <c r="AY335" s="83"/>
      <c r="AZ335" s="83"/>
      <c r="BA335" s="83"/>
      <c r="BB335" s="83"/>
      <c r="BC335" s="83"/>
      <c r="BD335" s="83"/>
      <c r="BE335" s="83"/>
      <c r="BF335" s="83"/>
      <c r="BG335" s="83"/>
      <c r="BH335" s="83"/>
      <c r="BI335" s="83"/>
      <c r="BJ335" s="83"/>
      <c r="BK335" s="83"/>
      <c r="BL335" s="83"/>
      <c r="BM335" s="83"/>
      <c r="BN335" s="83"/>
      <c r="BO335" s="83"/>
      <c r="BP335" s="83"/>
      <c r="BQ335" s="83"/>
      <c r="BR335" s="83"/>
      <c r="BS335" s="83"/>
      <c r="BT335" s="83"/>
      <c r="BU335" s="83"/>
    </row>
    <row r="336" spans="15:73"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3"/>
      <c r="AF336" s="83"/>
      <c r="AG336" s="83"/>
      <c r="AH336" s="83"/>
      <c r="AI336" s="83"/>
      <c r="AJ336" s="83"/>
      <c r="AK336" s="83"/>
      <c r="AL336" s="83"/>
      <c r="AM336" s="83"/>
      <c r="AN336" s="83"/>
      <c r="AO336" s="83"/>
      <c r="AP336" s="83"/>
      <c r="AQ336" s="83"/>
      <c r="AR336" s="83"/>
      <c r="AS336" s="83"/>
      <c r="AT336" s="83"/>
      <c r="AU336" s="83"/>
      <c r="AV336" s="83"/>
      <c r="AW336" s="83"/>
      <c r="AX336" s="83"/>
      <c r="AY336" s="83"/>
      <c r="AZ336" s="83"/>
      <c r="BA336" s="83"/>
      <c r="BB336" s="83"/>
      <c r="BC336" s="83"/>
      <c r="BD336" s="83"/>
      <c r="BE336" s="83"/>
      <c r="BF336" s="83"/>
      <c r="BG336" s="83"/>
      <c r="BH336" s="83"/>
      <c r="BI336" s="83"/>
      <c r="BJ336" s="83"/>
      <c r="BK336" s="83"/>
      <c r="BL336" s="83"/>
      <c r="BM336" s="83"/>
      <c r="BN336" s="83"/>
      <c r="BO336" s="83"/>
      <c r="BP336" s="83"/>
      <c r="BQ336" s="83"/>
      <c r="BR336" s="83"/>
      <c r="BS336" s="83"/>
      <c r="BT336" s="83"/>
      <c r="BU336" s="83"/>
    </row>
    <row r="337" spans="15:73"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3"/>
      <c r="AF337" s="83"/>
      <c r="AG337" s="83"/>
      <c r="AH337" s="83"/>
      <c r="AI337" s="83"/>
      <c r="AJ337" s="83"/>
      <c r="AK337" s="83"/>
      <c r="AL337" s="83"/>
      <c r="AM337" s="83"/>
      <c r="AN337" s="83"/>
      <c r="AO337" s="83"/>
      <c r="AP337" s="83"/>
      <c r="AQ337" s="83"/>
      <c r="AR337" s="83"/>
      <c r="AS337" s="83"/>
      <c r="AT337" s="83"/>
      <c r="AU337" s="83"/>
      <c r="AV337" s="83"/>
      <c r="AW337" s="83"/>
      <c r="AX337" s="83"/>
      <c r="AY337" s="83"/>
      <c r="AZ337" s="83"/>
      <c r="BA337" s="83"/>
      <c r="BB337" s="83"/>
      <c r="BC337" s="83"/>
      <c r="BD337" s="83"/>
      <c r="BE337" s="83"/>
      <c r="BF337" s="83"/>
      <c r="BG337" s="83"/>
      <c r="BH337" s="83"/>
      <c r="BI337" s="83"/>
      <c r="BJ337" s="83"/>
      <c r="BK337" s="83"/>
      <c r="BL337" s="83"/>
      <c r="BM337" s="83"/>
      <c r="BN337" s="83"/>
      <c r="BO337" s="83"/>
      <c r="BP337" s="83"/>
      <c r="BQ337" s="83"/>
      <c r="BR337" s="83"/>
      <c r="BS337" s="83"/>
      <c r="BT337" s="83"/>
      <c r="BU337" s="83"/>
    </row>
    <row r="338" spans="15:73"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3"/>
      <c r="AF338" s="83"/>
      <c r="AG338" s="83"/>
      <c r="AH338" s="83"/>
      <c r="AI338" s="83"/>
      <c r="AJ338" s="83"/>
      <c r="AK338" s="83"/>
      <c r="AL338" s="83"/>
      <c r="AM338" s="83"/>
      <c r="AN338" s="83"/>
      <c r="AO338" s="83"/>
      <c r="AP338" s="83"/>
      <c r="AQ338" s="83"/>
      <c r="AR338" s="83"/>
      <c r="AS338" s="83"/>
      <c r="AT338" s="83"/>
      <c r="AU338" s="83"/>
      <c r="AV338" s="83"/>
      <c r="AW338" s="83"/>
      <c r="AX338" s="83"/>
      <c r="AY338" s="83"/>
      <c r="AZ338" s="83"/>
      <c r="BA338" s="83"/>
      <c r="BB338" s="83"/>
      <c r="BC338" s="83"/>
      <c r="BD338" s="83"/>
      <c r="BE338" s="83"/>
      <c r="BF338" s="83"/>
      <c r="BG338" s="83"/>
      <c r="BH338" s="83"/>
      <c r="BI338" s="83"/>
      <c r="BJ338" s="83"/>
      <c r="BK338" s="83"/>
      <c r="BL338" s="83"/>
      <c r="BM338" s="83"/>
      <c r="BN338" s="83"/>
      <c r="BO338" s="83"/>
      <c r="BP338" s="83"/>
      <c r="BQ338" s="83"/>
      <c r="BR338" s="83"/>
      <c r="BS338" s="83"/>
      <c r="BT338" s="83"/>
      <c r="BU338" s="83"/>
    </row>
    <row r="339" spans="15:73"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3"/>
      <c r="AF339" s="83"/>
      <c r="AG339" s="83"/>
      <c r="AH339" s="83"/>
      <c r="AI339" s="83"/>
      <c r="AJ339" s="83"/>
      <c r="AK339" s="83"/>
      <c r="AL339" s="83"/>
      <c r="AM339" s="83"/>
      <c r="AN339" s="83"/>
      <c r="AO339" s="83"/>
      <c r="AP339" s="83"/>
      <c r="AQ339" s="83"/>
      <c r="AR339" s="83"/>
      <c r="AS339" s="83"/>
      <c r="AT339" s="83"/>
      <c r="AU339" s="83"/>
      <c r="AV339" s="83"/>
      <c r="AW339" s="83"/>
      <c r="AX339" s="83"/>
      <c r="AY339" s="83"/>
      <c r="AZ339" s="83"/>
      <c r="BA339" s="83"/>
      <c r="BB339" s="83"/>
      <c r="BC339" s="83"/>
      <c r="BD339" s="83"/>
      <c r="BE339" s="83"/>
      <c r="BF339" s="83"/>
      <c r="BG339" s="83"/>
      <c r="BH339" s="83"/>
      <c r="BI339" s="83"/>
      <c r="BJ339" s="83"/>
      <c r="BK339" s="83"/>
      <c r="BL339" s="83"/>
      <c r="BM339" s="83"/>
      <c r="BN339" s="83"/>
      <c r="BO339" s="83"/>
      <c r="BP339" s="83"/>
      <c r="BQ339" s="83"/>
      <c r="BR339" s="83"/>
      <c r="BS339" s="83"/>
      <c r="BT339" s="83"/>
      <c r="BU339" s="83"/>
    </row>
    <row r="340" spans="15:73"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3"/>
      <c r="AF340" s="83"/>
      <c r="AG340" s="83"/>
      <c r="AH340" s="83"/>
      <c r="AI340" s="83"/>
      <c r="AJ340" s="83"/>
      <c r="AK340" s="83"/>
      <c r="AL340" s="83"/>
      <c r="AM340" s="83"/>
      <c r="AN340" s="83"/>
      <c r="AO340" s="83"/>
      <c r="AP340" s="83"/>
      <c r="AQ340" s="83"/>
      <c r="AR340" s="83"/>
      <c r="AS340" s="83"/>
      <c r="AT340" s="83"/>
      <c r="AU340" s="83"/>
      <c r="AV340" s="83"/>
      <c r="AW340" s="83"/>
      <c r="AX340" s="83"/>
      <c r="AY340" s="83"/>
      <c r="AZ340" s="83"/>
      <c r="BA340" s="83"/>
      <c r="BB340" s="83"/>
      <c r="BC340" s="83"/>
      <c r="BD340" s="83"/>
      <c r="BE340" s="83"/>
      <c r="BF340" s="83"/>
      <c r="BG340" s="83"/>
      <c r="BH340" s="83"/>
      <c r="BI340" s="83"/>
      <c r="BJ340" s="83"/>
      <c r="BK340" s="83"/>
      <c r="BL340" s="83"/>
      <c r="BM340" s="83"/>
      <c r="BN340" s="83"/>
      <c r="BO340" s="83"/>
      <c r="BP340" s="83"/>
      <c r="BQ340" s="83"/>
      <c r="BR340" s="83"/>
      <c r="BS340" s="83"/>
      <c r="BT340" s="83"/>
      <c r="BU340" s="83"/>
    </row>
    <row r="341" spans="15:73"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3"/>
      <c r="AF341" s="83"/>
      <c r="AG341" s="83"/>
      <c r="AH341" s="83"/>
      <c r="AI341" s="83"/>
      <c r="AJ341" s="83"/>
      <c r="AK341" s="83"/>
      <c r="AL341" s="83"/>
      <c r="AM341" s="83"/>
      <c r="AN341" s="83"/>
      <c r="AO341" s="83"/>
      <c r="AP341" s="83"/>
      <c r="AQ341" s="83"/>
      <c r="AR341" s="83"/>
      <c r="AS341" s="83"/>
      <c r="AT341" s="83"/>
      <c r="AU341" s="83"/>
      <c r="AV341" s="83"/>
      <c r="AW341" s="83"/>
      <c r="AX341" s="83"/>
      <c r="AY341" s="83"/>
      <c r="AZ341" s="83"/>
      <c r="BA341" s="83"/>
      <c r="BB341" s="83"/>
      <c r="BC341" s="83"/>
      <c r="BD341" s="83"/>
      <c r="BE341" s="83"/>
      <c r="BF341" s="83"/>
      <c r="BG341" s="83"/>
      <c r="BH341" s="83"/>
      <c r="BI341" s="83"/>
      <c r="BJ341" s="83"/>
      <c r="BK341" s="83"/>
      <c r="BL341" s="83"/>
      <c r="BM341" s="83"/>
      <c r="BN341" s="83"/>
      <c r="BO341" s="83"/>
      <c r="BP341" s="83"/>
      <c r="BQ341" s="83"/>
      <c r="BR341" s="83"/>
      <c r="BS341" s="83"/>
      <c r="BT341" s="83"/>
      <c r="BU341" s="83"/>
    </row>
    <row r="342" spans="15:73"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3"/>
      <c r="AF342" s="83"/>
      <c r="AG342" s="83"/>
      <c r="AH342" s="83"/>
      <c r="AI342" s="83"/>
      <c r="AJ342" s="83"/>
      <c r="AK342" s="83"/>
      <c r="AL342" s="83"/>
      <c r="AM342" s="83"/>
      <c r="AN342" s="83"/>
      <c r="AO342" s="83"/>
      <c r="AP342" s="83"/>
      <c r="AQ342" s="83"/>
      <c r="AR342" s="83"/>
      <c r="AS342" s="83"/>
      <c r="AT342" s="83"/>
      <c r="AU342" s="83"/>
      <c r="AV342" s="83"/>
      <c r="AW342" s="83"/>
      <c r="AX342" s="83"/>
      <c r="AY342" s="83"/>
      <c r="AZ342" s="83"/>
      <c r="BA342" s="83"/>
      <c r="BB342" s="83"/>
      <c r="BC342" s="83"/>
      <c r="BD342" s="83"/>
      <c r="BE342" s="83"/>
      <c r="BF342" s="83"/>
      <c r="BG342" s="83"/>
      <c r="BH342" s="83"/>
      <c r="BI342" s="83"/>
      <c r="BJ342" s="83"/>
      <c r="BK342" s="83"/>
      <c r="BL342" s="83"/>
      <c r="BM342" s="83"/>
      <c r="BN342" s="83"/>
      <c r="BO342" s="83"/>
      <c r="BP342" s="83"/>
      <c r="BQ342" s="83"/>
      <c r="BR342" s="83"/>
      <c r="BS342" s="83"/>
      <c r="BT342" s="83"/>
      <c r="BU342" s="83"/>
    </row>
    <row r="343" spans="15:73"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3"/>
      <c r="AF343" s="83"/>
      <c r="AG343" s="83"/>
      <c r="AH343" s="83"/>
      <c r="AI343" s="83"/>
      <c r="AJ343" s="83"/>
      <c r="AK343" s="83"/>
      <c r="AL343" s="83"/>
      <c r="AM343" s="83"/>
      <c r="AN343" s="83"/>
      <c r="AO343" s="83"/>
      <c r="AP343" s="83"/>
      <c r="AQ343" s="83"/>
      <c r="AR343" s="83"/>
      <c r="AS343" s="83"/>
      <c r="AT343" s="83"/>
      <c r="AU343" s="83"/>
      <c r="AV343" s="83"/>
      <c r="AW343" s="83"/>
      <c r="AX343" s="83"/>
      <c r="AY343" s="83"/>
      <c r="AZ343" s="83"/>
      <c r="BA343" s="83"/>
      <c r="BB343" s="83"/>
      <c r="BC343" s="83"/>
      <c r="BD343" s="83"/>
      <c r="BE343" s="83"/>
      <c r="BF343" s="83"/>
      <c r="BG343" s="83"/>
      <c r="BH343" s="83"/>
      <c r="BI343" s="83"/>
      <c r="BJ343" s="83"/>
      <c r="BK343" s="83"/>
      <c r="BL343" s="83"/>
      <c r="BM343" s="83"/>
      <c r="BN343" s="83"/>
      <c r="BO343" s="83"/>
      <c r="BP343" s="83"/>
      <c r="BQ343" s="83"/>
      <c r="BR343" s="83"/>
      <c r="BS343" s="83"/>
      <c r="BT343" s="83"/>
      <c r="BU343" s="83"/>
    </row>
    <row r="344" spans="15:73"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3"/>
      <c r="AF344" s="83"/>
      <c r="AG344" s="83"/>
      <c r="AH344" s="83"/>
      <c r="AI344" s="83"/>
      <c r="AJ344" s="83"/>
      <c r="AK344" s="83"/>
      <c r="AL344" s="83"/>
      <c r="AM344" s="83"/>
      <c r="AN344" s="83"/>
      <c r="AO344" s="83"/>
      <c r="AP344" s="83"/>
      <c r="AQ344" s="83"/>
      <c r="AR344" s="83"/>
      <c r="AS344" s="83"/>
      <c r="AT344" s="83"/>
      <c r="AU344" s="83"/>
      <c r="AV344" s="83"/>
      <c r="AW344" s="83"/>
      <c r="AX344" s="83"/>
      <c r="AY344" s="83"/>
      <c r="AZ344" s="83"/>
      <c r="BA344" s="83"/>
      <c r="BB344" s="83"/>
      <c r="BC344" s="83"/>
      <c r="BD344" s="83"/>
      <c r="BE344" s="83"/>
      <c r="BF344" s="83"/>
      <c r="BG344" s="83"/>
      <c r="BH344" s="83"/>
      <c r="BI344" s="83"/>
      <c r="BJ344" s="83"/>
      <c r="BK344" s="83"/>
      <c r="BL344" s="83"/>
      <c r="BM344" s="83"/>
      <c r="BN344" s="83"/>
      <c r="BO344" s="83"/>
      <c r="BP344" s="83"/>
      <c r="BQ344" s="83"/>
      <c r="BR344" s="83"/>
      <c r="BS344" s="83"/>
      <c r="BT344" s="83"/>
      <c r="BU344" s="83"/>
    </row>
    <row r="345" spans="15:73"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3"/>
      <c r="AF345" s="83"/>
      <c r="AG345" s="83"/>
      <c r="AH345" s="83"/>
      <c r="AI345" s="83"/>
      <c r="AJ345" s="83"/>
      <c r="AK345" s="83"/>
      <c r="AL345" s="83"/>
      <c r="AM345" s="83"/>
      <c r="AN345" s="83"/>
      <c r="AO345" s="83"/>
      <c r="AP345" s="83"/>
      <c r="AQ345" s="83"/>
      <c r="AR345" s="83"/>
      <c r="AS345" s="83"/>
      <c r="AT345" s="83"/>
      <c r="AU345" s="83"/>
      <c r="AV345" s="83"/>
      <c r="AW345" s="83"/>
      <c r="AX345" s="83"/>
      <c r="AY345" s="83"/>
      <c r="AZ345" s="83"/>
      <c r="BA345" s="83"/>
      <c r="BB345" s="83"/>
      <c r="BC345" s="83"/>
      <c r="BD345" s="83"/>
      <c r="BE345" s="83"/>
      <c r="BF345" s="83"/>
      <c r="BG345" s="83"/>
      <c r="BH345" s="83"/>
      <c r="BI345" s="83"/>
      <c r="BJ345" s="83"/>
      <c r="BK345" s="83"/>
      <c r="BL345" s="83"/>
      <c r="BM345" s="83"/>
      <c r="BN345" s="83"/>
      <c r="BO345" s="83"/>
      <c r="BP345" s="83"/>
      <c r="BQ345" s="83"/>
      <c r="BR345" s="83"/>
      <c r="BS345" s="83"/>
      <c r="BT345" s="83"/>
      <c r="BU345" s="83"/>
    </row>
    <row r="346" spans="15:73"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3"/>
      <c r="AF346" s="83"/>
      <c r="AG346" s="83"/>
      <c r="AH346" s="83"/>
      <c r="AI346" s="83"/>
      <c r="AJ346" s="83"/>
      <c r="AK346" s="83"/>
      <c r="AL346" s="83"/>
      <c r="AM346" s="83"/>
      <c r="AN346" s="83"/>
      <c r="AO346" s="83"/>
      <c r="AP346" s="83"/>
      <c r="AQ346" s="83"/>
      <c r="AR346" s="83"/>
      <c r="AS346" s="83"/>
      <c r="AT346" s="83"/>
      <c r="AU346" s="83"/>
      <c r="AV346" s="83"/>
      <c r="AW346" s="83"/>
      <c r="AX346" s="83"/>
      <c r="AY346" s="83"/>
      <c r="AZ346" s="83"/>
      <c r="BA346" s="83"/>
      <c r="BB346" s="83"/>
      <c r="BC346" s="83"/>
      <c r="BD346" s="83"/>
      <c r="BE346" s="83"/>
      <c r="BF346" s="83"/>
      <c r="BG346" s="83"/>
      <c r="BH346" s="83"/>
      <c r="BI346" s="83"/>
      <c r="BJ346" s="83"/>
      <c r="BK346" s="83"/>
      <c r="BL346" s="83"/>
      <c r="BM346" s="83"/>
      <c r="BN346" s="83"/>
      <c r="BO346" s="83"/>
      <c r="BP346" s="83"/>
      <c r="BQ346" s="83"/>
      <c r="BR346" s="83"/>
      <c r="BS346" s="83"/>
      <c r="BT346" s="83"/>
      <c r="BU346" s="83"/>
    </row>
    <row r="347" spans="15:73"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3"/>
      <c r="AF347" s="83"/>
      <c r="AG347" s="83"/>
      <c r="AH347" s="83"/>
      <c r="AI347" s="83"/>
      <c r="AJ347" s="83"/>
      <c r="AK347" s="83"/>
      <c r="AL347" s="83"/>
      <c r="AM347" s="83"/>
      <c r="AN347" s="83"/>
      <c r="AO347" s="83"/>
      <c r="AP347" s="83"/>
      <c r="AQ347" s="83"/>
      <c r="AR347" s="83"/>
      <c r="AS347" s="83"/>
      <c r="AT347" s="83"/>
      <c r="AU347" s="83"/>
      <c r="AV347" s="83"/>
      <c r="AW347" s="83"/>
      <c r="AX347" s="83"/>
      <c r="AY347" s="83"/>
      <c r="AZ347" s="83"/>
      <c r="BA347" s="83"/>
      <c r="BB347" s="83"/>
      <c r="BC347" s="83"/>
      <c r="BD347" s="83"/>
      <c r="BE347" s="83"/>
      <c r="BF347" s="83"/>
      <c r="BG347" s="83"/>
      <c r="BH347" s="83"/>
      <c r="BI347" s="83"/>
      <c r="BJ347" s="83"/>
      <c r="BK347" s="83"/>
      <c r="BL347" s="83"/>
      <c r="BM347" s="83"/>
      <c r="BN347" s="83"/>
      <c r="BO347" s="83"/>
      <c r="BP347" s="83"/>
      <c r="BQ347" s="83"/>
      <c r="BR347" s="83"/>
      <c r="BS347" s="83"/>
      <c r="BT347" s="83"/>
      <c r="BU347" s="83"/>
    </row>
    <row r="348" spans="15:73"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3"/>
      <c r="AF348" s="83"/>
      <c r="AG348" s="83"/>
      <c r="AH348" s="83"/>
      <c r="AI348" s="83"/>
      <c r="AJ348" s="83"/>
      <c r="AK348" s="83"/>
      <c r="AL348" s="83"/>
      <c r="AM348" s="83"/>
      <c r="AN348" s="83"/>
      <c r="AO348" s="83"/>
      <c r="AP348" s="83"/>
      <c r="AQ348" s="83"/>
      <c r="AR348" s="83"/>
      <c r="AS348" s="83"/>
      <c r="AT348" s="83"/>
      <c r="AU348" s="83"/>
      <c r="AV348" s="83"/>
      <c r="AW348" s="83"/>
      <c r="AX348" s="83"/>
      <c r="AY348" s="83"/>
      <c r="AZ348" s="83"/>
      <c r="BA348" s="83"/>
      <c r="BB348" s="83"/>
      <c r="BC348" s="83"/>
      <c r="BD348" s="83"/>
      <c r="BE348" s="83"/>
      <c r="BF348" s="83"/>
      <c r="BG348" s="83"/>
      <c r="BH348" s="83"/>
      <c r="BI348" s="83"/>
      <c r="BJ348" s="83"/>
      <c r="BK348" s="83"/>
      <c r="BL348" s="83"/>
      <c r="BM348" s="83"/>
      <c r="BN348" s="83"/>
      <c r="BO348" s="83"/>
      <c r="BP348" s="83"/>
      <c r="BQ348" s="83"/>
      <c r="BR348" s="83"/>
      <c r="BS348" s="83"/>
      <c r="BT348" s="83"/>
      <c r="BU348" s="83"/>
    </row>
    <row r="349" spans="15:73"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3"/>
      <c r="AF349" s="83"/>
      <c r="AG349" s="83"/>
      <c r="AH349" s="83"/>
      <c r="AI349" s="83"/>
      <c r="AJ349" s="83"/>
      <c r="AK349" s="83"/>
      <c r="AL349" s="83"/>
      <c r="AM349" s="83"/>
      <c r="AN349" s="83"/>
      <c r="AO349" s="83"/>
      <c r="AP349" s="83"/>
      <c r="AQ349" s="83"/>
      <c r="AR349" s="83"/>
      <c r="AS349" s="83"/>
      <c r="AT349" s="83"/>
      <c r="AU349" s="83"/>
      <c r="AV349" s="83"/>
      <c r="AW349" s="83"/>
      <c r="AX349" s="83"/>
      <c r="AY349" s="83"/>
      <c r="AZ349" s="83"/>
      <c r="BA349" s="83"/>
      <c r="BB349" s="83"/>
      <c r="BC349" s="83"/>
      <c r="BD349" s="83"/>
      <c r="BE349" s="83"/>
      <c r="BF349" s="83"/>
      <c r="BG349" s="83"/>
      <c r="BH349" s="83"/>
      <c r="BI349" s="83"/>
      <c r="BJ349" s="83"/>
      <c r="BK349" s="83"/>
      <c r="BL349" s="83"/>
      <c r="BM349" s="83"/>
      <c r="BN349" s="83"/>
      <c r="BO349" s="83"/>
      <c r="BP349" s="83"/>
      <c r="BQ349" s="83"/>
      <c r="BR349" s="83"/>
      <c r="BS349" s="83"/>
      <c r="BT349" s="83"/>
      <c r="BU349" s="83"/>
    </row>
    <row r="350" spans="15:73"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3"/>
      <c r="AF350" s="83"/>
      <c r="AG350" s="83"/>
      <c r="AH350" s="83"/>
      <c r="AI350" s="83"/>
      <c r="AJ350" s="83"/>
      <c r="AK350" s="83"/>
      <c r="AL350" s="83"/>
      <c r="AM350" s="83"/>
      <c r="AN350" s="83"/>
      <c r="AO350" s="83"/>
      <c r="AP350" s="83"/>
      <c r="AQ350" s="83"/>
      <c r="AR350" s="83"/>
      <c r="AS350" s="83"/>
      <c r="AT350" s="83"/>
      <c r="AU350" s="83"/>
      <c r="AV350" s="83"/>
      <c r="AW350" s="83"/>
      <c r="AX350" s="83"/>
      <c r="AY350" s="83"/>
      <c r="AZ350" s="83"/>
      <c r="BA350" s="83"/>
      <c r="BB350" s="83"/>
      <c r="BC350" s="83"/>
      <c r="BD350" s="83"/>
      <c r="BE350" s="83"/>
      <c r="BF350" s="83"/>
      <c r="BG350" s="83"/>
      <c r="BH350" s="83"/>
      <c r="BI350" s="83"/>
      <c r="BJ350" s="83"/>
      <c r="BK350" s="83"/>
      <c r="BL350" s="83"/>
      <c r="BM350" s="83"/>
      <c r="BN350" s="83"/>
      <c r="BO350" s="83"/>
      <c r="BP350" s="83"/>
      <c r="BQ350" s="83"/>
      <c r="BR350" s="83"/>
      <c r="BS350" s="83"/>
      <c r="BT350" s="83"/>
      <c r="BU350" s="83"/>
    </row>
    <row r="351" spans="15:73"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3"/>
      <c r="AF351" s="83"/>
      <c r="AG351" s="83"/>
      <c r="AH351" s="83"/>
      <c r="AI351" s="83"/>
      <c r="AJ351" s="83"/>
      <c r="AK351" s="83"/>
      <c r="AL351" s="83"/>
      <c r="AM351" s="83"/>
      <c r="AN351" s="83"/>
      <c r="AO351" s="83"/>
      <c r="AP351" s="83"/>
      <c r="AQ351" s="83"/>
      <c r="AR351" s="83"/>
      <c r="AS351" s="83"/>
      <c r="AT351" s="83"/>
      <c r="AU351" s="83"/>
      <c r="AV351" s="83"/>
      <c r="AW351" s="83"/>
      <c r="AX351" s="83"/>
      <c r="AY351" s="83"/>
      <c r="AZ351" s="83"/>
      <c r="BA351" s="83"/>
      <c r="BB351" s="83"/>
      <c r="BC351" s="83"/>
      <c r="BD351" s="83"/>
      <c r="BE351" s="83"/>
      <c r="BF351" s="83"/>
      <c r="BG351" s="83"/>
      <c r="BH351" s="83"/>
      <c r="BI351" s="83"/>
      <c r="BJ351" s="83"/>
      <c r="BK351" s="83"/>
      <c r="BL351" s="83"/>
      <c r="BM351" s="83"/>
      <c r="BN351" s="83"/>
      <c r="BO351" s="83"/>
      <c r="BP351" s="83"/>
      <c r="BQ351" s="83"/>
      <c r="BR351" s="83"/>
      <c r="BS351" s="83"/>
      <c r="BT351" s="83"/>
      <c r="BU351" s="83"/>
    </row>
    <row r="352" spans="15:73"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3"/>
      <c r="AF352" s="83"/>
      <c r="AG352" s="83"/>
      <c r="AH352" s="83"/>
      <c r="AI352" s="83"/>
      <c r="AJ352" s="83"/>
      <c r="AK352" s="83"/>
      <c r="AL352" s="83"/>
      <c r="AM352" s="83"/>
      <c r="AN352" s="83"/>
      <c r="AO352" s="83"/>
      <c r="AP352" s="83"/>
      <c r="AQ352" s="83"/>
      <c r="AR352" s="83"/>
      <c r="AS352" s="83"/>
      <c r="AT352" s="83"/>
      <c r="AU352" s="83"/>
      <c r="AV352" s="83"/>
      <c r="AW352" s="83"/>
      <c r="AX352" s="83"/>
      <c r="AY352" s="83"/>
      <c r="AZ352" s="83"/>
      <c r="BA352" s="83"/>
      <c r="BB352" s="83"/>
      <c r="BC352" s="83"/>
      <c r="BD352" s="83"/>
      <c r="BE352" s="83"/>
      <c r="BF352" s="83"/>
      <c r="BG352" s="83"/>
      <c r="BH352" s="83"/>
      <c r="BI352" s="83"/>
      <c r="BJ352" s="83"/>
      <c r="BK352" s="83"/>
      <c r="BL352" s="83"/>
      <c r="BM352" s="83"/>
      <c r="BN352" s="83"/>
      <c r="BO352" s="83"/>
      <c r="BP352" s="83"/>
      <c r="BQ352" s="83"/>
      <c r="BR352" s="83"/>
      <c r="BS352" s="83"/>
      <c r="BT352" s="83"/>
      <c r="BU352" s="83"/>
    </row>
    <row r="353" spans="15:73"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3"/>
      <c r="AF353" s="83"/>
      <c r="AG353" s="83"/>
      <c r="AH353" s="83"/>
      <c r="AI353" s="83"/>
      <c r="AJ353" s="83"/>
      <c r="AK353" s="83"/>
      <c r="AL353" s="83"/>
      <c r="AM353" s="83"/>
      <c r="AN353" s="83"/>
      <c r="AO353" s="83"/>
      <c r="AP353" s="83"/>
      <c r="AQ353" s="83"/>
      <c r="AR353" s="83"/>
      <c r="AS353" s="83"/>
      <c r="AT353" s="83"/>
      <c r="AU353" s="83"/>
      <c r="AV353" s="83"/>
      <c r="AW353" s="83"/>
      <c r="AX353" s="83"/>
      <c r="AY353" s="83"/>
      <c r="AZ353" s="83"/>
      <c r="BA353" s="83"/>
      <c r="BB353" s="83"/>
      <c r="BC353" s="83"/>
      <c r="BD353" s="83"/>
      <c r="BE353" s="83"/>
      <c r="BF353" s="83"/>
      <c r="BG353" s="83"/>
      <c r="BH353" s="83"/>
      <c r="BI353" s="83"/>
      <c r="BJ353" s="83"/>
      <c r="BK353" s="83"/>
      <c r="BL353" s="83"/>
      <c r="BM353" s="83"/>
      <c r="BN353" s="83"/>
      <c r="BO353" s="83"/>
      <c r="BP353" s="83"/>
      <c r="BQ353" s="83"/>
      <c r="BR353" s="83"/>
      <c r="BS353" s="83"/>
      <c r="BT353" s="83"/>
      <c r="BU353" s="83"/>
    </row>
    <row r="354" spans="15:73"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3"/>
      <c r="AF354" s="83"/>
      <c r="AG354" s="83"/>
      <c r="AH354" s="83"/>
      <c r="AI354" s="83"/>
      <c r="AJ354" s="83"/>
      <c r="AK354" s="83"/>
      <c r="AL354" s="83"/>
      <c r="AM354" s="83"/>
      <c r="AN354" s="83"/>
      <c r="AO354" s="83"/>
      <c r="AP354" s="83"/>
      <c r="AQ354" s="83"/>
      <c r="AR354" s="83"/>
      <c r="AS354" s="83"/>
      <c r="AT354" s="83"/>
      <c r="AU354" s="83"/>
      <c r="AV354" s="83"/>
      <c r="AW354" s="83"/>
      <c r="AX354" s="83"/>
      <c r="AY354" s="83"/>
      <c r="AZ354" s="83"/>
      <c r="BA354" s="83"/>
      <c r="BB354" s="83"/>
      <c r="BC354" s="83"/>
      <c r="BD354" s="83"/>
      <c r="BE354" s="83"/>
      <c r="BF354" s="83"/>
      <c r="BG354" s="83"/>
      <c r="BH354" s="83"/>
      <c r="BI354" s="83"/>
      <c r="BJ354" s="83"/>
      <c r="BK354" s="83"/>
      <c r="BL354" s="83"/>
      <c r="BM354" s="83"/>
      <c r="BN354" s="83"/>
      <c r="BO354" s="83"/>
      <c r="BP354" s="83"/>
      <c r="BQ354" s="83"/>
      <c r="BR354" s="83"/>
      <c r="BS354" s="83"/>
      <c r="BT354" s="83"/>
      <c r="BU354" s="83"/>
    </row>
    <row r="355" spans="15:73"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3"/>
      <c r="AF355" s="83"/>
      <c r="AG355" s="83"/>
      <c r="AH355" s="83"/>
      <c r="AI355" s="83"/>
      <c r="AJ355" s="83"/>
      <c r="AK355" s="83"/>
      <c r="AL355" s="83"/>
      <c r="AM355" s="83"/>
      <c r="AN355" s="83"/>
      <c r="AO355" s="83"/>
      <c r="AP355" s="83"/>
      <c r="AQ355" s="83"/>
      <c r="AR355" s="83"/>
      <c r="AS355" s="83"/>
      <c r="AT355" s="83"/>
      <c r="AU355" s="83"/>
      <c r="AV355" s="83"/>
      <c r="AW355" s="83"/>
      <c r="AX355" s="83"/>
      <c r="AY355" s="83"/>
      <c r="AZ355" s="83"/>
      <c r="BA355" s="83"/>
      <c r="BB355" s="83"/>
      <c r="BC355" s="83"/>
      <c r="BD355" s="83"/>
      <c r="BE355" s="83"/>
      <c r="BF355" s="83"/>
      <c r="BG355" s="83"/>
      <c r="BH355" s="83"/>
      <c r="BI355" s="83"/>
      <c r="BJ355" s="83"/>
      <c r="BK355" s="83"/>
      <c r="BL355" s="83"/>
      <c r="BM355" s="83"/>
      <c r="BN355" s="83"/>
      <c r="BO355" s="83"/>
      <c r="BP355" s="83"/>
      <c r="BQ355" s="83"/>
      <c r="BR355" s="83"/>
      <c r="BS355" s="83"/>
      <c r="BT355" s="83"/>
      <c r="BU355" s="83"/>
    </row>
    <row r="356" spans="15:73"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3"/>
      <c r="AF356" s="83"/>
      <c r="AG356" s="83"/>
      <c r="AH356" s="83"/>
      <c r="AI356" s="83"/>
      <c r="AJ356" s="83"/>
      <c r="AK356" s="83"/>
      <c r="AL356" s="83"/>
      <c r="AM356" s="83"/>
      <c r="AN356" s="83"/>
      <c r="AO356" s="83"/>
      <c r="AP356" s="83"/>
      <c r="AQ356" s="83"/>
      <c r="AR356" s="83"/>
      <c r="AS356" s="83"/>
      <c r="AT356" s="83"/>
      <c r="AU356" s="83"/>
      <c r="AV356" s="83"/>
      <c r="AW356" s="83"/>
      <c r="AX356" s="83"/>
      <c r="AY356" s="83"/>
      <c r="AZ356" s="83"/>
      <c r="BA356" s="83"/>
      <c r="BB356" s="83"/>
      <c r="BC356" s="83"/>
      <c r="BD356" s="83"/>
      <c r="BE356" s="83"/>
      <c r="BF356" s="83"/>
      <c r="BG356" s="83"/>
      <c r="BH356" s="83"/>
      <c r="BI356" s="83"/>
      <c r="BJ356" s="83"/>
      <c r="BK356" s="83"/>
      <c r="BL356" s="83"/>
      <c r="BM356" s="83"/>
      <c r="BN356" s="83"/>
      <c r="BO356" s="83"/>
      <c r="BP356" s="83"/>
      <c r="BQ356" s="83"/>
      <c r="BR356" s="83"/>
      <c r="BS356" s="83"/>
      <c r="BT356" s="83"/>
      <c r="BU356" s="83"/>
    </row>
    <row r="357" spans="15:73"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3"/>
      <c r="AF357" s="83"/>
      <c r="AG357" s="83"/>
      <c r="AH357" s="83"/>
      <c r="AI357" s="83"/>
      <c r="AJ357" s="83"/>
      <c r="AK357" s="83"/>
      <c r="AL357" s="83"/>
      <c r="AM357" s="83"/>
      <c r="AN357" s="83"/>
      <c r="AO357" s="83"/>
      <c r="AP357" s="83"/>
      <c r="AQ357" s="83"/>
      <c r="AR357" s="83"/>
      <c r="AS357" s="83"/>
      <c r="AT357" s="83"/>
      <c r="AU357" s="83"/>
      <c r="AV357" s="83"/>
      <c r="AW357" s="83"/>
      <c r="AX357" s="83"/>
      <c r="AY357" s="83"/>
      <c r="AZ357" s="83"/>
      <c r="BA357" s="83"/>
      <c r="BB357" s="83"/>
      <c r="BC357" s="83"/>
      <c r="BD357" s="83"/>
      <c r="BE357" s="83"/>
      <c r="BF357" s="83"/>
      <c r="BG357" s="83"/>
      <c r="BH357" s="83"/>
      <c r="BI357" s="83"/>
      <c r="BJ357" s="83"/>
      <c r="BK357" s="83"/>
      <c r="BL357" s="83"/>
      <c r="BM357" s="83"/>
      <c r="BN357" s="83"/>
      <c r="BO357" s="83"/>
      <c r="BP357" s="83"/>
      <c r="BQ357" s="83"/>
      <c r="BR357" s="83"/>
      <c r="BS357" s="83"/>
      <c r="BT357" s="83"/>
      <c r="BU357" s="83"/>
    </row>
    <row r="358" spans="15:73"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3"/>
      <c r="AF358" s="83"/>
      <c r="AG358" s="83"/>
      <c r="AH358" s="83"/>
      <c r="AI358" s="83"/>
      <c r="AJ358" s="83"/>
      <c r="AK358" s="83"/>
      <c r="AL358" s="83"/>
      <c r="AM358" s="83"/>
      <c r="AN358" s="83"/>
      <c r="AO358" s="83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83"/>
      <c r="BC358" s="83"/>
      <c r="BD358" s="83"/>
      <c r="BE358" s="83"/>
      <c r="BF358" s="83"/>
      <c r="BG358" s="83"/>
      <c r="BH358" s="83"/>
      <c r="BI358" s="83"/>
      <c r="BJ358" s="83"/>
      <c r="BK358" s="83"/>
      <c r="BL358" s="83"/>
      <c r="BM358" s="83"/>
      <c r="BN358" s="83"/>
      <c r="BO358" s="83"/>
      <c r="BP358" s="83"/>
      <c r="BQ358" s="83"/>
      <c r="BR358" s="83"/>
      <c r="BS358" s="83"/>
      <c r="BT358" s="83"/>
      <c r="BU358" s="83"/>
    </row>
    <row r="359" spans="15:73"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3"/>
      <c r="AF359" s="83"/>
      <c r="AG359" s="83"/>
      <c r="AH359" s="83"/>
      <c r="AI359" s="83"/>
      <c r="AJ359" s="83"/>
      <c r="AK359" s="83"/>
      <c r="AL359" s="83"/>
      <c r="AM359" s="83"/>
      <c r="AN359" s="83"/>
      <c r="AO359" s="83"/>
      <c r="AP359" s="83"/>
      <c r="AQ359" s="83"/>
      <c r="AR359" s="83"/>
      <c r="AS359" s="83"/>
      <c r="AT359" s="83"/>
      <c r="AU359" s="83"/>
      <c r="AV359" s="83"/>
      <c r="AW359" s="83"/>
      <c r="AX359" s="83"/>
      <c r="AY359" s="83"/>
      <c r="AZ359" s="83"/>
      <c r="BA359" s="83"/>
      <c r="BB359" s="83"/>
      <c r="BC359" s="83"/>
      <c r="BD359" s="83"/>
      <c r="BE359" s="83"/>
      <c r="BF359" s="83"/>
      <c r="BG359" s="83"/>
      <c r="BH359" s="83"/>
      <c r="BI359" s="83"/>
      <c r="BJ359" s="83"/>
      <c r="BK359" s="83"/>
      <c r="BL359" s="83"/>
      <c r="BM359" s="83"/>
      <c r="BN359" s="83"/>
      <c r="BO359" s="83"/>
      <c r="BP359" s="83"/>
      <c r="BQ359" s="83"/>
      <c r="BR359" s="83"/>
      <c r="BS359" s="83"/>
      <c r="BT359" s="83"/>
      <c r="BU359" s="83"/>
    </row>
    <row r="360" spans="15:73"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3"/>
      <c r="AF360" s="83"/>
      <c r="AG360" s="83"/>
      <c r="AH360" s="83"/>
      <c r="AI360" s="83"/>
      <c r="AJ360" s="83"/>
      <c r="AK360" s="83"/>
      <c r="AL360" s="83"/>
      <c r="AM360" s="83"/>
      <c r="AN360" s="83"/>
      <c r="AO360" s="83"/>
      <c r="AP360" s="83"/>
      <c r="AQ360" s="83"/>
      <c r="AR360" s="83"/>
      <c r="AS360" s="83"/>
      <c r="AT360" s="83"/>
      <c r="AU360" s="83"/>
      <c r="AV360" s="83"/>
      <c r="AW360" s="83"/>
      <c r="AX360" s="83"/>
      <c r="AY360" s="83"/>
      <c r="AZ360" s="83"/>
      <c r="BA360" s="83"/>
      <c r="BB360" s="83"/>
      <c r="BC360" s="83"/>
      <c r="BD360" s="83"/>
      <c r="BE360" s="83"/>
      <c r="BF360" s="83"/>
      <c r="BG360" s="83"/>
      <c r="BH360" s="83"/>
      <c r="BI360" s="83"/>
      <c r="BJ360" s="83"/>
      <c r="BK360" s="83"/>
      <c r="BL360" s="83"/>
      <c r="BM360" s="83"/>
      <c r="BN360" s="83"/>
      <c r="BO360" s="83"/>
      <c r="BP360" s="83"/>
      <c r="BQ360" s="83"/>
      <c r="BR360" s="83"/>
      <c r="BS360" s="83"/>
      <c r="BT360" s="83"/>
      <c r="BU360" s="83"/>
    </row>
    <row r="361" spans="15:73"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3"/>
      <c r="AF361" s="83"/>
      <c r="AG361" s="83"/>
      <c r="AH361" s="83"/>
      <c r="AI361" s="83"/>
      <c r="AJ361" s="83"/>
      <c r="AK361" s="83"/>
      <c r="AL361" s="83"/>
      <c r="AM361" s="83"/>
      <c r="AN361" s="83"/>
      <c r="AO361" s="83"/>
      <c r="AP361" s="83"/>
      <c r="AQ361" s="83"/>
      <c r="AR361" s="83"/>
      <c r="AS361" s="83"/>
      <c r="AT361" s="83"/>
      <c r="AU361" s="83"/>
      <c r="AV361" s="83"/>
      <c r="AW361" s="83"/>
      <c r="AX361" s="83"/>
      <c r="AY361" s="83"/>
      <c r="AZ361" s="83"/>
      <c r="BA361" s="83"/>
      <c r="BB361" s="83"/>
      <c r="BC361" s="83"/>
      <c r="BD361" s="83"/>
      <c r="BE361" s="83"/>
      <c r="BF361" s="83"/>
      <c r="BG361" s="83"/>
      <c r="BH361" s="83"/>
      <c r="BI361" s="83"/>
      <c r="BJ361" s="83"/>
      <c r="BK361" s="83"/>
      <c r="BL361" s="83"/>
      <c r="BM361" s="83"/>
      <c r="BN361" s="83"/>
      <c r="BO361" s="83"/>
      <c r="BP361" s="83"/>
      <c r="BQ361" s="83"/>
      <c r="BR361" s="83"/>
      <c r="BS361" s="83"/>
      <c r="BT361" s="83"/>
      <c r="BU361" s="83"/>
    </row>
    <row r="362" spans="15:73"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3"/>
      <c r="AF362" s="83"/>
      <c r="AG362" s="83"/>
      <c r="AH362" s="83"/>
      <c r="AI362" s="83"/>
      <c r="AJ362" s="83"/>
      <c r="AK362" s="83"/>
      <c r="AL362" s="83"/>
      <c r="AM362" s="83"/>
      <c r="AN362" s="83"/>
      <c r="AO362" s="83"/>
      <c r="AP362" s="83"/>
      <c r="AQ362" s="83"/>
      <c r="AR362" s="83"/>
      <c r="AS362" s="83"/>
      <c r="AT362" s="83"/>
      <c r="AU362" s="83"/>
      <c r="AV362" s="83"/>
      <c r="AW362" s="83"/>
      <c r="AX362" s="83"/>
      <c r="AY362" s="83"/>
      <c r="AZ362" s="83"/>
      <c r="BA362" s="83"/>
      <c r="BB362" s="83"/>
      <c r="BC362" s="83"/>
      <c r="BD362" s="83"/>
      <c r="BE362" s="83"/>
      <c r="BF362" s="83"/>
      <c r="BG362" s="83"/>
      <c r="BH362" s="83"/>
      <c r="BI362" s="83"/>
      <c r="BJ362" s="83"/>
      <c r="BK362" s="83"/>
      <c r="BL362" s="83"/>
      <c r="BM362" s="83"/>
      <c r="BN362" s="83"/>
      <c r="BO362" s="83"/>
      <c r="BP362" s="83"/>
      <c r="BQ362" s="83"/>
      <c r="BR362" s="83"/>
      <c r="BS362" s="83"/>
      <c r="BT362" s="83"/>
      <c r="BU362" s="83"/>
    </row>
    <row r="363" spans="15:73"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3"/>
      <c r="AF363" s="83"/>
      <c r="AG363" s="83"/>
      <c r="AH363" s="83"/>
      <c r="AI363" s="83"/>
      <c r="AJ363" s="83"/>
      <c r="AK363" s="83"/>
      <c r="AL363" s="83"/>
      <c r="AM363" s="83"/>
      <c r="AN363" s="83"/>
      <c r="AO363" s="83"/>
      <c r="AP363" s="83"/>
      <c r="AQ363" s="83"/>
      <c r="AR363" s="83"/>
      <c r="AS363" s="83"/>
      <c r="AT363" s="83"/>
      <c r="AU363" s="83"/>
      <c r="AV363" s="83"/>
      <c r="AW363" s="83"/>
      <c r="AX363" s="83"/>
      <c r="AY363" s="83"/>
      <c r="AZ363" s="83"/>
      <c r="BA363" s="83"/>
      <c r="BB363" s="83"/>
      <c r="BC363" s="83"/>
      <c r="BD363" s="83"/>
      <c r="BE363" s="83"/>
      <c r="BF363" s="83"/>
      <c r="BG363" s="83"/>
      <c r="BH363" s="83"/>
      <c r="BI363" s="83"/>
      <c r="BJ363" s="83"/>
      <c r="BK363" s="83"/>
      <c r="BL363" s="83"/>
      <c r="BM363" s="83"/>
      <c r="BN363" s="83"/>
      <c r="BO363" s="83"/>
      <c r="BP363" s="83"/>
      <c r="BQ363" s="83"/>
      <c r="BR363" s="83"/>
      <c r="BS363" s="83"/>
      <c r="BT363" s="83"/>
      <c r="BU363" s="83"/>
    </row>
    <row r="364" spans="15:73"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3"/>
      <c r="AF364" s="83"/>
      <c r="AG364" s="83"/>
      <c r="AH364" s="83"/>
      <c r="AI364" s="83"/>
      <c r="AJ364" s="83"/>
      <c r="AK364" s="83"/>
      <c r="AL364" s="83"/>
      <c r="AM364" s="83"/>
      <c r="AN364" s="83"/>
      <c r="AO364" s="83"/>
      <c r="AP364" s="83"/>
      <c r="AQ364" s="83"/>
      <c r="AR364" s="83"/>
      <c r="AS364" s="83"/>
      <c r="AT364" s="83"/>
      <c r="AU364" s="83"/>
      <c r="AV364" s="83"/>
      <c r="AW364" s="83"/>
      <c r="AX364" s="83"/>
      <c r="AY364" s="83"/>
      <c r="AZ364" s="83"/>
      <c r="BA364" s="83"/>
      <c r="BB364" s="83"/>
      <c r="BC364" s="83"/>
      <c r="BD364" s="83"/>
      <c r="BE364" s="83"/>
      <c r="BF364" s="83"/>
      <c r="BG364" s="83"/>
      <c r="BH364" s="83"/>
      <c r="BI364" s="83"/>
      <c r="BJ364" s="83"/>
      <c r="BK364" s="83"/>
      <c r="BL364" s="83"/>
      <c r="BM364" s="83"/>
      <c r="BN364" s="83"/>
      <c r="BO364" s="83"/>
      <c r="BP364" s="83"/>
      <c r="BQ364" s="83"/>
      <c r="BR364" s="83"/>
      <c r="BS364" s="83"/>
      <c r="BT364" s="83"/>
      <c r="BU364" s="83"/>
    </row>
    <row r="365" spans="15:73"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3"/>
      <c r="AF365" s="83"/>
      <c r="AG365" s="83"/>
      <c r="AH365" s="83"/>
      <c r="AI365" s="83"/>
      <c r="AJ365" s="83"/>
      <c r="AK365" s="83"/>
      <c r="AL365" s="83"/>
      <c r="AM365" s="83"/>
      <c r="AN365" s="83"/>
      <c r="AO365" s="83"/>
      <c r="AP365" s="83"/>
      <c r="AQ365" s="83"/>
      <c r="AR365" s="83"/>
      <c r="AS365" s="83"/>
      <c r="AT365" s="83"/>
      <c r="AU365" s="83"/>
      <c r="AV365" s="83"/>
      <c r="AW365" s="83"/>
      <c r="AX365" s="83"/>
      <c r="AY365" s="83"/>
      <c r="AZ365" s="83"/>
      <c r="BA365" s="83"/>
      <c r="BB365" s="83"/>
      <c r="BC365" s="83"/>
      <c r="BD365" s="83"/>
      <c r="BE365" s="83"/>
      <c r="BF365" s="83"/>
      <c r="BG365" s="83"/>
      <c r="BH365" s="83"/>
      <c r="BI365" s="83"/>
      <c r="BJ365" s="83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</row>
    <row r="366" spans="15:73"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3"/>
      <c r="AF366" s="83"/>
      <c r="AG366" s="83"/>
      <c r="AH366" s="83"/>
      <c r="AI366" s="83"/>
      <c r="AJ366" s="83"/>
      <c r="AK366" s="83"/>
      <c r="AL366" s="83"/>
      <c r="AM366" s="83"/>
      <c r="AN366" s="83"/>
      <c r="AO366" s="83"/>
      <c r="AP366" s="83"/>
      <c r="AQ366" s="83"/>
      <c r="AR366" s="83"/>
      <c r="AS366" s="83"/>
      <c r="AT366" s="83"/>
      <c r="AU366" s="83"/>
      <c r="AV366" s="83"/>
      <c r="AW366" s="83"/>
      <c r="AX366" s="83"/>
      <c r="AY366" s="83"/>
      <c r="AZ366" s="83"/>
      <c r="BA366" s="83"/>
      <c r="BB366" s="83"/>
      <c r="BC366" s="83"/>
      <c r="BD366" s="83"/>
      <c r="BE366" s="83"/>
      <c r="BF366" s="83"/>
      <c r="BG366" s="83"/>
      <c r="BH366" s="83"/>
      <c r="BI366" s="83"/>
      <c r="BJ366" s="83"/>
      <c r="BK366" s="83"/>
      <c r="BL366" s="83"/>
      <c r="BM366" s="83"/>
      <c r="BN366" s="83"/>
      <c r="BO366" s="83"/>
      <c r="BP366" s="83"/>
      <c r="BQ366" s="83"/>
      <c r="BR366" s="83"/>
      <c r="BS366" s="83"/>
      <c r="BT366" s="83"/>
      <c r="BU366" s="83"/>
    </row>
    <row r="367" spans="15:73"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3"/>
      <c r="AF367" s="83"/>
      <c r="AG367" s="83"/>
      <c r="AH367" s="83"/>
      <c r="AI367" s="83"/>
      <c r="AJ367" s="83"/>
      <c r="AK367" s="83"/>
      <c r="AL367" s="83"/>
      <c r="AM367" s="83"/>
      <c r="AN367" s="83"/>
      <c r="AO367" s="83"/>
      <c r="AP367" s="83"/>
      <c r="AQ367" s="83"/>
      <c r="AR367" s="83"/>
      <c r="AS367" s="83"/>
      <c r="AT367" s="83"/>
      <c r="AU367" s="83"/>
      <c r="AV367" s="83"/>
      <c r="AW367" s="83"/>
      <c r="AX367" s="83"/>
      <c r="AY367" s="83"/>
      <c r="AZ367" s="83"/>
      <c r="BA367" s="83"/>
      <c r="BB367" s="83"/>
      <c r="BC367" s="83"/>
      <c r="BD367" s="83"/>
      <c r="BE367" s="83"/>
      <c r="BF367" s="83"/>
      <c r="BG367" s="83"/>
      <c r="BH367" s="83"/>
      <c r="BI367" s="83"/>
      <c r="BJ367" s="83"/>
      <c r="BK367" s="83"/>
      <c r="BL367" s="83"/>
      <c r="BM367" s="83"/>
      <c r="BN367" s="83"/>
      <c r="BO367" s="83"/>
      <c r="BP367" s="83"/>
      <c r="BQ367" s="83"/>
      <c r="BR367" s="83"/>
      <c r="BS367" s="83"/>
      <c r="BT367" s="83"/>
      <c r="BU367" s="83"/>
    </row>
    <row r="368" spans="15:73"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3"/>
      <c r="AF368" s="83"/>
      <c r="AG368" s="83"/>
      <c r="AH368" s="83"/>
      <c r="AI368" s="83"/>
      <c r="AJ368" s="83"/>
      <c r="AK368" s="83"/>
      <c r="AL368" s="83"/>
      <c r="AM368" s="83"/>
      <c r="AN368" s="83"/>
      <c r="AO368" s="83"/>
      <c r="AP368" s="83"/>
      <c r="AQ368" s="83"/>
      <c r="AR368" s="83"/>
      <c r="AS368" s="83"/>
      <c r="AT368" s="83"/>
      <c r="AU368" s="83"/>
      <c r="AV368" s="83"/>
      <c r="AW368" s="83"/>
      <c r="AX368" s="83"/>
      <c r="AY368" s="83"/>
      <c r="AZ368" s="83"/>
      <c r="BA368" s="83"/>
      <c r="BB368" s="83"/>
      <c r="BC368" s="83"/>
      <c r="BD368" s="83"/>
      <c r="BE368" s="83"/>
      <c r="BF368" s="83"/>
      <c r="BG368" s="83"/>
      <c r="BH368" s="83"/>
      <c r="BI368" s="83"/>
      <c r="BJ368" s="83"/>
      <c r="BK368" s="83"/>
      <c r="BL368" s="83"/>
      <c r="BM368" s="83"/>
      <c r="BN368" s="83"/>
      <c r="BO368" s="83"/>
      <c r="BP368" s="83"/>
      <c r="BQ368" s="83"/>
      <c r="BR368" s="83"/>
      <c r="BS368" s="83"/>
      <c r="BT368" s="83"/>
      <c r="BU368" s="83"/>
    </row>
    <row r="369" spans="15:73"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3"/>
      <c r="AF369" s="83"/>
      <c r="AG369" s="83"/>
      <c r="AH369" s="83"/>
      <c r="AI369" s="83"/>
      <c r="AJ369" s="83"/>
      <c r="AK369" s="83"/>
      <c r="AL369" s="83"/>
      <c r="AM369" s="83"/>
      <c r="AN369" s="83"/>
      <c r="AO369" s="83"/>
      <c r="AP369" s="83"/>
      <c r="AQ369" s="83"/>
      <c r="AR369" s="83"/>
      <c r="AS369" s="83"/>
      <c r="AT369" s="83"/>
      <c r="AU369" s="83"/>
      <c r="AV369" s="83"/>
      <c r="AW369" s="83"/>
      <c r="AX369" s="83"/>
      <c r="AY369" s="83"/>
      <c r="AZ369" s="83"/>
      <c r="BA369" s="83"/>
      <c r="BB369" s="83"/>
      <c r="BC369" s="83"/>
      <c r="BD369" s="83"/>
      <c r="BE369" s="83"/>
      <c r="BF369" s="83"/>
      <c r="BG369" s="83"/>
      <c r="BH369" s="83"/>
      <c r="BI369" s="83"/>
      <c r="BJ369" s="83"/>
      <c r="BK369" s="83"/>
      <c r="BL369" s="83"/>
      <c r="BM369" s="83"/>
      <c r="BN369" s="83"/>
      <c r="BO369" s="83"/>
      <c r="BP369" s="83"/>
      <c r="BQ369" s="83"/>
      <c r="BR369" s="83"/>
      <c r="BS369" s="83"/>
      <c r="BT369" s="83"/>
      <c r="BU369" s="83"/>
    </row>
    <row r="370" spans="15:73"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3"/>
      <c r="AF370" s="83"/>
      <c r="AG370" s="83"/>
      <c r="AH370" s="83"/>
      <c r="AI370" s="83"/>
      <c r="AJ370" s="83"/>
      <c r="AK370" s="83"/>
      <c r="AL370" s="83"/>
      <c r="AM370" s="83"/>
      <c r="AN370" s="83"/>
      <c r="AO370" s="83"/>
      <c r="AP370" s="83"/>
      <c r="AQ370" s="83"/>
      <c r="AR370" s="83"/>
      <c r="AS370" s="83"/>
      <c r="AT370" s="83"/>
      <c r="AU370" s="83"/>
      <c r="AV370" s="83"/>
      <c r="AW370" s="83"/>
      <c r="AX370" s="83"/>
      <c r="AY370" s="83"/>
      <c r="AZ370" s="83"/>
      <c r="BA370" s="83"/>
      <c r="BB370" s="83"/>
      <c r="BC370" s="83"/>
      <c r="BD370" s="83"/>
      <c r="BE370" s="83"/>
      <c r="BF370" s="83"/>
      <c r="BG370" s="83"/>
      <c r="BH370" s="83"/>
      <c r="BI370" s="83"/>
      <c r="BJ370" s="83"/>
      <c r="BK370" s="83"/>
      <c r="BL370" s="83"/>
      <c r="BM370" s="83"/>
      <c r="BN370" s="83"/>
      <c r="BO370" s="83"/>
      <c r="BP370" s="83"/>
      <c r="BQ370" s="83"/>
      <c r="BR370" s="83"/>
      <c r="BS370" s="83"/>
      <c r="BT370" s="83"/>
      <c r="BU370" s="83"/>
    </row>
    <row r="371" spans="15:73"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3"/>
      <c r="AF371" s="83"/>
      <c r="AG371" s="83"/>
      <c r="AH371" s="83"/>
      <c r="AI371" s="83"/>
      <c r="AJ371" s="83"/>
      <c r="AK371" s="83"/>
      <c r="AL371" s="83"/>
      <c r="AM371" s="83"/>
      <c r="AN371" s="83"/>
      <c r="AO371" s="83"/>
      <c r="AP371" s="83"/>
      <c r="AQ371" s="83"/>
      <c r="AR371" s="83"/>
      <c r="AS371" s="83"/>
      <c r="AT371" s="83"/>
      <c r="AU371" s="83"/>
      <c r="AV371" s="83"/>
      <c r="AW371" s="83"/>
      <c r="AX371" s="83"/>
      <c r="AY371" s="83"/>
      <c r="AZ371" s="83"/>
      <c r="BA371" s="83"/>
      <c r="BB371" s="83"/>
      <c r="BC371" s="83"/>
      <c r="BD371" s="83"/>
      <c r="BE371" s="83"/>
      <c r="BF371" s="83"/>
      <c r="BG371" s="83"/>
      <c r="BH371" s="83"/>
      <c r="BI371" s="83"/>
      <c r="BJ371" s="83"/>
      <c r="BK371" s="83"/>
      <c r="BL371" s="83"/>
      <c r="BM371" s="83"/>
      <c r="BN371" s="83"/>
      <c r="BO371" s="83"/>
      <c r="BP371" s="83"/>
      <c r="BQ371" s="83"/>
      <c r="BR371" s="83"/>
      <c r="BS371" s="83"/>
      <c r="BT371" s="83"/>
      <c r="BU371" s="83"/>
    </row>
    <row r="372" spans="15:73"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3"/>
      <c r="AF372" s="83"/>
      <c r="AG372" s="83"/>
      <c r="AH372" s="83"/>
      <c r="AI372" s="83"/>
      <c r="AJ372" s="83"/>
      <c r="AK372" s="83"/>
      <c r="AL372" s="83"/>
      <c r="AM372" s="83"/>
      <c r="AN372" s="83"/>
      <c r="AO372" s="83"/>
      <c r="AP372" s="83"/>
      <c r="AQ372" s="83"/>
      <c r="AR372" s="83"/>
      <c r="AS372" s="83"/>
      <c r="AT372" s="83"/>
      <c r="AU372" s="83"/>
      <c r="AV372" s="83"/>
      <c r="AW372" s="83"/>
      <c r="AX372" s="83"/>
      <c r="AY372" s="83"/>
      <c r="AZ372" s="83"/>
      <c r="BA372" s="83"/>
      <c r="BB372" s="83"/>
      <c r="BC372" s="83"/>
      <c r="BD372" s="83"/>
      <c r="BE372" s="83"/>
      <c r="BF372" s="83"/>
      <c r="BG372" s="83"/>
      <c r="BH372" s="83"/>
      <c r="BI372" s="83"/>
      <c r="BJ372" s="83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</row>
    <row r="373" spans="15:73"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3"/>
      <c r="AF373" s="83"/>
      <c r="AG373" s="83"/>
      <c r="AH373" s="83"/>
      <c r="AI373" s="83"/>
      <c r="AJ373" s="83"/>
      <c r="AK373" s="83"/>
      <c r="AL373" s="83"/>
      <c r="AM373" s="83"/>
      <c r="AN373" s="83"/>
      <c r="AO373" s="83"/>
      <c r="AP373" s="83"/>
      <c r="AQ373" s="83"/>
      <c r="AR373" s="83"/>
      <c r="AS373" s="83"/>
      <c r="AT373" s="83"/>
      <c r="AU373" s="83"/>
      <c r="AV373" s="83"/>
      <c r="AW373" s="83"/>
      <c r="AX373" s="83"/>
      <c r="AY373" s="83"/>
      <c r="AZ373" s="83"/>
      <c r="BA373" s="83"/>
      <c r="BB373" s="83"/>
      <c r="BC373" s="83"/>
      <c r="BD373" s="83"/>
      <c r="BE373" s="83"/>
      <c r="BF373" s="83"/>
      <c r="BG373" s="83"/>
      <c r="BH373" s="83"/>
      <c r="BI373" s="83"/>
      <c r="BJ373" s="83"/>
      <c r="BK373" s="83"/>
      <c r="BL373" s="83"/>
      <c r="BM373" s="83"/>
      <c r="BN373" s="83"/>
      <c r="BO373" s="83"/>
      <c r="BP373" s="83"/>
      <c r="BQ373" s="83"/>
      <c r="BR373" s="83"/>
      <c r="BS373" s="83"/>
      <c r="BT373" s="83"/>
      <c r="BU373" s="83"/>
    </row>
    <row r="374" spans="15:73"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3"/>
      <c r="AF374" s="83"/>
      <c r="AG374" s="83"/>
      <c r="AH374" s="83"/>
      <c r="AI374" s="83"/>
      <c r="AJ374" s="83"/>
      <c r="AK374" s="83"/>
      <c r="AL374" s="83"/>
      <c r="AM374" s="83"/>
      <c r="AN374" s="83"/>
      <c r="AO374" s="83"/>
      <c r="AP374" s="83"/>
      <c r="AQ374" s="83"/>
      <c r="AR374" s="83"/>
      <c r="AS374" s="83"/>
      <c r="AT374" s="83"/>
      <c r="AU374" s="83"/>
      <c r="AV374" s="83"/>
      <c r="AW374" s="83"/>
      <c r="AX374" s="83"/>
      <c r="AY374" s="83"/>
      <c r="AZ374" s="83"/>
      <c r="BA374" s="83"/>
      <c r="BB374" s="83"/>
      <c r="BC374" s="83"/>
      <c r="BD374" s="83"/>
      <c r="BE374" s="83"/>
      <c r="BF374" s="83"/>
      <c r="BG374" s="83"/>
      <c r="BH374" s="83"/>
      <c r="BI374" s="83"/>
      <c r="BJ374" s="83"/>
      <c r="BK374" s="83"/>
      <c r="BL374" s="83"/>
      <c r="BM374" s="83"/>
      <c r="BN374" s="83"/>
      <c r="BO374" s="83"/>
      <c r="BP374" s="83"/>
      <c r="BQ374" s="83"/>
      <c r="BR374" s="83"/>
      <c r="BS374" s="83"/>
      <c r="BT374" s="83"/>
      <c r="BU374" s="83"/>
    </row>
    <row r="375" spans="15:73"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3"/>
      <c r="AF375" s="83"/>
      <c r="AG375" s="83"/>
      <c r="AH375" s="83"/>
      <c r="AI375" s="83"/>
      <c r="AJ375" s="83"/>
      <c r="AK375" s="83"/>
      <c r="AL375" s="83"/>
      <c r="AM375" s="83"/>
      <c r="AN375" s="83"/>
      <c r="AO375" s="83"/>
      <c r="AP375" s="83"/>
      <c r="AQ375" s="83"/>
      <c r="AR375" s="83"/>
      <c r="AS375" s="83"/>
      <c r="AT375" s="83"/>
      <c r="AU375" s="83"/>
      <c r="AV375" s="83"/>
      <c r="AW375" s="83"/>
      <c r="AX375" s="83"/>
      <c r="AY375" s="83"/>
      <c r="AZ375" s="83"/>
      <c r="BA375" s="83"/>
      <c r="BB375" s="83"/>
      <c r="BC375" s="83"/>
      <c r="BD375" s="83"/>
      <c r="BE375" s="83"/>
      <c r="BF375" s="83"/>
      <c r="BG375" s="83"/>
      <c r="BH375" s="83"/>
      <c r="BI375" s="83"/>
      <c r="BJ375" s="83"/>
      <c r="BK375" s="83"/>
      <c r="BL375" s="83"/>
      <c r="BM375" s="83"/>
      <c r="BN375" s="83"/>
      <c r="BO375" s="83"/>
      <c r="BP375" s="83"/>
      <c r="BQ375" s="83"/>
      <c r="BR375" s="83"/>
      <c r="BS375" s="83"/>
      <c r="BT375" s="83"/>
      <c r="BU375" s="83"/>
    </row>
    <row r="376" spans="15:73"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3"/>
      <c r="AF376" s="83"/>
      <c r="AG376" s="83"/>
      <c r="AH376" s="83"/>
      <c r="AI376" s="83"/>
      <c r="AJ376" s="83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  <c r="BL376" s="83"/>
      <c r="BM376" s="83"/>
      <c r="BN376" s="83"/>
      <c r="BO376" s="83"/>
      <c r="BP376" s="83"/>
      <c r="BQ376" s="83"/>
      <c r="BR376" s="83"/>
      <c r="BS376" s="83"/>
      <c r="BT376" s="83"/>
      <c r="BU376" s="83"/>
    </row>
    <row r="377" spans="15:73"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3"/>
      <c r="AF377" s="83"/>
      <c r="AG377" s="83"/>
      <c r="AH377" s="83"/>
      <c r="AI377" s="83"/>
      <c r="AJ377" s="83"/>
      <c r="AK377" s="83"/>
      <c r="AL377" s="83"/>
      <c r="AM377" s="83"/>
      <c r="AN377" s="83"/>
      <c r="AO377" s="83"/>
      <c r="AP377" s="83"/>
      <c r="AQ377" s="83"/>
      <c r="AR377" s="83"/>
      <c r="AS377" s="83"/>
      <c r="AT377" s="83"/>
      <c r="AU377" s="83"/>
      <c r="AV377" s="83"/>
      <c r="AW377" s="83"/>
      <c r="AX377" s="83"/>
      <c r="AY377" s="83"/>
      <c r="AZ377" s="83"/>
      <c r="BA377" s="83"/>
      <c r="BB377" s="83"/>
      <c r="BC377" s="83"/>
      <c r="BD377" s="83"/>
      <c r="BE377" s="83"/>
      <c r="BF377" s="83"/>
      <c r="BG377" s="83"/>
      <c r="BH377" s="83"/>
      <c r="BI377" s="83"/>
      <c r="BJ377" s="83"/>
      <c r="BK377" s="83"/>
      <c r="BL377" s="83"/>
      <c r="BM377" s="83"/>
      <c r="BN377" s="83"/>
      <c r="BO377" s="83"/>
      <c r="BP377" s="83"/>
      <c r="BQ377" s="83"/>
      <c r="BR377" s="83"/>
      <c r="BS377" s="83"/>
      <c r="BT377" s="83"/>
      <c r="BU377" s="83"/>
    </row>
    <row r="378" spans="15:73"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3"/>
      <c r="AF378" s="83"/>
      <c r="AG378" s="83"/>
      <c r="AH378" s="83"/>
      <c r="AI378" s="83"/>
      <c r="AJ378" s="83"/>
      <c r="AK378" s="83"/>
      <c r="AL378" s="83"/>
      <c r="AM378" s="83"/>
      <c r="AN378" s="83"/>
      <c r="AO378" s="83"/>
      <c r="AP378" s="83"/>
      <c r="AQ378" s="83"/>
      <c r="AR378" s="83"/>
      <c r="AS378" s="83"/>
      <c r="AT378" s="83"/>
      <c r="AU378" s="83"/>
      <c r="AV378" s="83"/>
      <c r="AW378" s="83"/>
      <c r="AX378" s="83"/>
      <c r="AY378" s="83"/>
      <c r="AZ378" s="83"/>
      <c r="BA378" s="83"/>
      <c r="BB378" s="83"/>
      <c r="BC378" s="83"/>
      <c r="BD378" s="83"/>
      <c r="BE378" s="83"/>
      <c r="BF378" s="83"/>
      <c r="BG378" s="83"/>
      <c r="BH378" s="83"/>
      <c r="BI378" s="83"/>
      <c r="BJ378" s="83"/>
      <c r="BK378" s="83"/>
      <c r="BL378" s="83"/>
      <c r="BM378" s="83"/>
      <c r="BN378" s="83"/>
      <c r="BO378" s="83"/>
      <c r="BP378" s="83"/>
      <c r="BQ378" s="83"/>
      <c r="BR378" s="83"/>
      <c r="BS378" s="83"/>
      <c r="BT378" s="83"/>
      <c r="BU378" s="83"/>
    </row>
    <row r="379" spans="15:73"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3"/>
      <c r="AF379" s="83"/>
      <c r="AG379" s="83"/>
      <c r="AH379" s="83"/>
      <c r="AI379" s="83"/>
      <c r="AJ379" s="83"/>
      <c r="AK379" s="83"/>
      <c r="AL379" s="83"/>
      <c r="AM379" s="83"/>
      <c r="AN379" s="83"/>
      <c r="AO379" s="83"/>
      <c r="AP379" s="83"/>
      <c r="AQ379" s="83"/>
      <c r="AR379" s="83"/>
      <c r="AS379" s="83"/>
      <c r="AT379" s="83"/>
      <c r="AU379" s="83"/>
      <c r="AV379" s="83"/>
      <c r="AW379" s="83"/>
      <c r="AX379" s="83"/>
      <c r="AY379" s="83"/>
      <c r="AZ379" s="83"/>
      <c r="BA379" s="83"/>
      <c r="BB379" s="83"/>
      <c r="BC379" s="83"/>
      <c r="BD379" s="83"/>
      <c r="BE379" s="83"/>
      <c r="BF379" s="83"/>
      <c r="BG379" s="83"/>
      <c r="BH379" s="83"/>
      <c r="BI379" s="83"/>
      <c r="BJ379" s="83"/>
      <c r="BK379" s="83"/>
      <c r="BL379" s="83"/>
      <c r="BM379" s="83"/>
      <c r="BN379" s="83"/>
      <c r="BO379" s="83"/>
      <c r="BP379" s="83"/>
      <c r="BQ379" s="83"/>
      <c r="BR379" s="83"/>
      <c r="BS379" s="83"/>
      <c r="BT379" s="83"/>
      <c r="BU379" s="83"/>
    </row>
    <row r="380" spans="15:73"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3"/>
      <c r="AF380" s="83"/>
      <c r="AG380" s="83"/>
      <c r="AH380" s="83"/>
      <c r="AI380" s="83"/>
      <c r="AJ380" s="83"/>
      <c r="AK380" s="83"/>
      <c r="AL380" s="83"/>
      <c r="AM380" s="83"/>
      <c r="AN380" s="83"/>
      <c r="AO380" s="83"/>
      <c r="AP380" s="83"/>
      <c r="AQ380" s="83"/>
      <c r="AR380" s="83"/>
      <c r="AS380" s="83"/>
      <c r="AT380" s="83"/>
      <c r="AU380" s="83"/>
      <c r="AV380" s="83"/>
      <c r="AW380" s="83"/>
      <c r="AX380" s="83"/>
      <c r="AY380" s="83"/>
      <c r="AZ380" s="83"/>
      <c r="BA380" s="83"/>
      <c r="BB380" s="83"/>
      <c r="BC380" s="83"/>
      <c r="BD380" s="83"/>
      <c r="BE380" s="83"/>
      <c r="BF380" s="83"/>
      <c r="BG380" s="83"/>
      <c r="BH380" s="83"/>
      <c r="BI380" s="83"/>
      <c r="BJ380" s="83"/>
      <c r="BK380" s="83"/>
      <c r="BL380" s="83"/>
      <c r="BM380" s="83"/>
      <c r="BN380" s="83"/>
      <c r="BO380" s="83"/>
      <c r="BP380" s="83"/>
      <c r="BQ380" s="83"/>
      <c r="BR380" s="83"/>
      <c r="BS380" s="83"/>
      <c r="BT380" s="83"/>
      <c r="BU380" s="83"/>
    </row>
    <row r="381" spans="15:73"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3"/>
      <c r="AF381" s="83"/>
      <c r="AG381" s="83"/>
      <c r="AH381" s="83"/>
      <c r="AI381" s="83"/>
      <c r="AJ381" s="83"/>
      <c r="AK381" s="83"/>
      <c r="AL381" s="83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83"/>
      <c r="BC381" s="83"/>
      <c r="BD381" s="83"/>
      <c r="BE381" s="83"/>
      <c r="BF381" s="83"/>
      <c r="BG381" s="83"/>
      <c r="BH381" s="83"/>
      <c r="BI381" s="83"/>
      <c r="BJ381" s="83"/>
      <c r="BK381" s="83"/>
      <c r="BL381" s="83"/>
      <c r="BM381" s="83"/>
      <c r="BN381" s="83"/>
      <c r="BO381" s="83"/>
      <c r="BP381" s="83"/>
      <c r="BQ381" s="83"/>
      <c r="BR381" s="83"/>
      <c r="BS381" s="83"/>
      <c r="BT381" s="83"/>
      <c r="BU381" s="83"/>
    </row>
    <row r="382" spans="15:73"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3"/>
      <c r="AF382" s="83"/>
      <c r="AG382" s="83"/>
      <c r="AH382" s="83"/>
      <c r="AI382" s="83"/>
      <c r="AJ382" s="83"/>
      <c r="AK382" s="83"/>
      <c r="AL382" s="83"/>
      <c r="AM382" s="83"/>
      <c r="AN382" s="83"/>
      <c r="AO382" s="83"/>
      <c r="AP382" s="83"/>
      <c r="AQ382" s="83"/>
      <c r="AR382" s="83"/>
      <c r="AS382" s="83"/>
      <c r="AT382" s="83"/>
      <c r="AU382" s="83"/>
      <c r="AV382" s="83"/>
      <c r="AW382" s="83"/>
      <c r="AX382" s="83"/>
      <c r="AY382" s="83"/>
      <c r="AZ382" s="83"/>
      <c r="BA382" s="83"/>
      <c r="BB382" s="83"/>
      <c r="BC382" s="83"/>
      <c r="BD382" s="83"/>
      <c r="BE382" s="83"/>
      <c r="BF382" s="83"/>
      <c r="BG382" s="83"/>
      <c r="BH382" s="83"/>
      <c r="BI382" s="83"/>
      <c r="BJ382" s="83"/>
      <c r="BK382" s="83"/>
      <c r="BL382" s="83"/>
      <c r="BM382" s="83"/>
      <c r="BN382" s="83"/>
      <c r="BO382" s="83"/>
      <c r="BP382" s="83"/>
      <c r="BQ382" s="83"/>
      <c r="BR382" s="83"/>
      <c r="BS382" s="83"/>
      <c r="BT382" s="83"/>
      <c r="BU382" s="83"/>
    </row>
    <row r="383" spans="15:73"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3"/>
      <c r="AF383" s="83"/>
      <c r="AG383" s="83"/>
      <c r="AH383" s="83"/>
      <c r="AI383" s="83"/>
      <c r="AJ383" s="83"/>
      <c r="AK383" s="83"/>
      <c r="AL383" s="83"/>
      <c r="AM383" s="83"/>
      <c r="AN383" s="83"/>
      <c r="AO383" s="83"/>
      <c r="AP383" s="83"/>
      <c r="AQ383" s="83"/>
      <c r="AR383" s="83"/>
      <c r="AS383" s="83"/>
      <c r="AT383" s="83"/>
      <c r="AU383" s="83"/>
      <c r="AV383" s="83"/>
      <c r="AW383" s="83"/>
      <c r="AX383" s="83"/>
      <c r="AY383" s="83"/>
      <c r="AZ383" s="83"/>
      <c r="BA383" s="83"/>
      <c r="BB383" s="83"/>
      <c r="BC383" s="83"/>
      <c r="BD383" s="83"/>
      <c r="BE383" s="83"/>
      <c r="BF383" s="83"/>
      <c r="BG383" s="83"/>
      <c r="BH383" s="83"/>
      <c r="BI383" s="83"/>
      <c r="BJ383" s="83"/>
      <c r="BK383" s="83"/>
      <c r="BL383" s="83"/>
      <c r="BM383" s="83"/>
      <c r="BN383" s="83"/>
      <c r="BO383" s="83"/>
      <c r="BP383" s="83"/>
      <c r="BQ383" s="83"/>
      <c r="BR383" s="83"/>
      <c r="BS383" s="83"/>
      <c r="BT383" s="83"/>
      <c r="BU383" s="83"/>
    </row>
    <row r="384" spans="15:73"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3"/>
      <c r="AF384" s="83"/>
      <c r="AG384" s="83"/>
      <c r="AH384" s="83"/>
      <c r="AI384" s="83"/>
      <c r="AJ384" s="83"/>
      <c r="AK384" s="83"/>
      <c r="AL384" s="83"/>
      <c r="AM384" s="83"/>
      <c r="AN384" s="83"/>
      <c r="AO384" s="83"/>
      <c r="AP384" s="83"/>
      <c r="AQ384" s="83"/>
      <c r="AR384" s="83"/>
      <c r="AS384" s="83"/>
      <c r="AT384" s="83"/>
      <c r="AU384" s="83"/>
      <c r="AV384" s="83"/>
      <c r="AW384" s="83"/>
      <c r="AX384" s="83"/>
      <c r="AY384" s="83"/>
      <c r="AZ384" s="83"/>
      <c r="BA384" s="83"/>
      <c r="BB384" s="83"/>
      <c r="BC384" s="83"/>
      <c r="BD384" s="83"/>
      <c r="BE384" s="83"/>
      <c r="BF384" s="83"/>
      <c r="BG384" s="83"/>
      <c r="BH384" s="83"/>
      <c r="BI384" s="83"/>
      <c r="BJ384" s="83"/>
      <c r="BK384" s="83"/>
      <c r="BL384" s="83"/>
      <c r="BM384" s="83"/>
      <c r="BN384" s="83"/>
      <c r="BO384" s="83"/>
      <c r="BP384" s="83"/>
      <c r="BQ384" s="83"/>
      <c r="BR384" s="83"/>
      <c r="BS384" s="83"/>
      <c r="BT384" s="83"/>
      <c r="BU384" s="83"/>
    </row>
    <row r="385" spans="15:73"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3"/>
      <c r="AF385" s="83"/>
      <c r="AG385" s="83"/>
      <c r="AH385" s="83"/>
      <c r="AI385" s="83"/>
      <c r="AJ385" s="83"/>
      <c r="AK385" s="83"/>
      <c r="AL385" s="83"/>
      <c r="AM385" s="83"/>
      <c r="AN385" s="83"/>
      <c r="AO385" s="83"/>
      <c r="AP385" s="83"/>
      <c r="AQ385" s="83"/>
      <c r="AR385" s="83"/>
      <c r="AS385" s="83"/>
      <c r="AT385" s="83"/>
      <c r="AU385" s="83"/>
      <c r="AV385" s="83"/>
      <c r="AW385" s="83"/>
      <c r="AX385" s="83"/>
      <c r="AY385" s="83"/>
      <c r="AZ385" s="83"/>
      <c r="BA385" s="83"/>
      <c r="BB385" s="83"/>
      <c r="BC385" s="83"/>
      <c r="BD385" s="83"/>
      <c r="BE385" s="83"/>
      <c r="BF385" s="83"/>
      <c r="BG385" s="83"/>
      <c r="BH385" s="83"/>
      <c r="BI385" s="83"/>
      <c r="BJ385" s="83"/>
      <c r="BK385" s="83"/>
      <c r="BL385" s="83"/>
      <c r="BM385" s="83"/>
      <c r="BN385" s="83"/>
      <c r="BO385" s="83"/>
      <c r="BP385" s="83"/>
      <c r="BQ385" s="83"/>
      <c r="BR385" s="83"/>
      <c r="BS385" s="83"/>
      <c r="BT385" s="83"/>
      <c r="BU385" s="83"/>
    </row>
    <row r="386" spans="15:73"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3"/>
      <c r="AF386" s="83"/>
      <c r="AG386" s="83"/>
      <c r="AH386" s="83"/>
      <c r="AI386" s="83"/>
      <c r="AJ386" s="83"/>
      <c r="AK386" s="83"/>
      <c r="AL386" s="83"/>
      <c r="AM386" s="83"/>
      <c r="AN386" s="83"/>
      <c r="AO386" s="83"/>
      <c r="AP386" s="83"/>
      <c r="AQ386" s="83"/>
      <c r="AR386" s="83"/>
      <c r="AS386" s="83"/>
      <c r="AT386" s="83"/>
      <c r="AU386" s="83"/>
      <c r="AV386" s="83"/>
      <c r="AW386" s="83"/>
      <c r="AX386" s="83"/>
      <c r="AY386" s="83"/>
      <c r="AZ386" s="83"/>
      <c r="BA386" s="83"/>
      <c r="BB386" s="83"/>
      <c r="BC386" s="83"/>
      <c r="BD386" s="83"/>
      <c r="BE386" s="83"/>
      <c r="BF386" s="83"/>
      <c r="BG386" s="83"/>
      <c r="BH386" s="83"/>
      <c r="BI386" s="83"/>
      <c r="BJ386" s="83"/>
      <c r="BK386" s="83"/>
      <c r="BL386" s="83"/>
      <c r="BM386" s="83"/>
      <c r="BN386" s="83"/>
      <c r="BO386" s="83"/>
      <c r="BP386" s="83"/>
      <c r="BQ386" s="83"/>
      <c r="BR386" s="83"/>
      <c r="BS386" s="83"/>
      <c r="BT386" s="83"/>
      <c r="BU386" s="83"/>
    </row>
    <row r="387" spans="15:73"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3"/>
      <c r="AF387" s="83"/>
      <c r="AG387" s="83"/>
      <c r="AH387" s="83"/>
      <c r="AI387" s="83"/>
      <c r="AJ387" s="83"/>
      <c r="AK387" s="83"/>
      <c r="AL387" s="83"/>
      <c r="AM387" s="83"/>
      <c r="AN387" s="83"/>
      <c r="AO387" s="83"/>
      <c r="AP387" s="83"/>
      <c r="AQ387" s="83"/>
      <c r="AR387" s="83"/>
      <c r="AS387" s="83"/>
      <c r="AT387" s="83"/>
      <c r="AU387" s="83"/>
      <c r="AV387" s="83"/>
      <c r="AW387" s="83"/>
      <c r="AX387" s="83"/>
      <c r="AY387" s="83"/>
      <c r="AZ387" s="83"/>
      <c r="BA387" s="83"/>
      <c r="BB387" s="83"/>
      <c r="BC387" s="83"/>
      <c r="BD387" s="83"/>
      <c r="BE387" s="83"/>
      <c r="BF387" s="83"/>
      <c r="BG387" s="83"/>
      <c r="BH387" s="83"/>
      <c r="BI387" s="83"/>
      <c r="BJ387" s="83"/>
      <c r="BK387" s="83"/>
      <c r="BL387" s="83"/>
      <c r="BM387" s="83"/>
      <c r="BN387" s="83"/>
      <c r="BO387" s="83"/>
      <c r="BP387" s="83"/>
      <c r="BQ387" s="83"/>
      <c r="BR387" s="83"/>
      <c r="BS387" s="83"/>
      <c r="BT387" s="83"/>
      <c r="BU387" s="83"/>
    </row>
    <row r="388" spans="15:73"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3"/>
      <c r="AF388" s="83"/>
      <c r="AG388" s="83"/>
      <c r="AH388" s="83"/>
      <c r="AI388" s="83"/>
      <c r="AJ388" s="83"/>
      <c r="AK388" s="83"/>
      <c r="AL388" s="83"/>
      <c r="AM388" s="83"/>
      <c r="AN388" s="83"/>
      <c r="AO388" s="83"/>
      <c r="AP388" s="83"/>
      <c r="AQ388" s="83"/>
      <c r="AR388" s="83"/>
      <c r="AS388" s="83"/>
      <c r="AT388" s="83"/>
      <c r="AU388" s="83"/>
      <c r="AV388" s="83"/>
      <c r="AW388" s="83"/>
      <c r="AX388" s="83"/>
      <c r="AY388" s="83"/>
      <c r="AZ388" s="83"/>
      <c r="BA388" s="83"/>
      <c r="BB388" s="83"/>
      <c r="BC388" s="83"/>
      <c r="BD388" s="83"/>
      <c r="BE388" s="83"/>
      <c r="BF388" s="83"/>
      <c r="BG388" s="83"/>
      <c r="BH388" s="83"/>
      <c r="BI388" s="83"/>
      <c r="BJ388" s="83"/>
      <c r="BK388" s="83"/>
      <c r="BL388" s="83"/>
      <c r="BM388" s="83"/>
      <c r="BN388" s="83"/>
      <c r="BO388" s="83"/>
      <c r="BP388" s="83"/>
      <c r="BQ388" s="83"/>
      <c r="BR388" s="83"/>
      <c r="BS388" s="83"/>
      <c r="BT388" s="83"/>
      <c r="BU388" s="83"/>
    </row>
    <row r="389" spans="15:73"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3"/>
      <c r="AF389" s="83"/>
      <c r="AG389" s="83"/>
      <c r="AH389" s="83"/>
      <c r="AI389" s="83"/>
      <c r="AJ389" s="83"/>
      <c r="AK389" s="83"/>
      <c r="AL389" s="83"/>
      <c r="AM389" s="83"/>
      <c r="AN389" s="83"/>
      <c r="AO389" s="83"/>
      <c r="AP389" s="83"/>
      <c r="AQ389" s="83"/>
      <c r="AR389" s="83"/>
      <c r="AS389" s="83"/>
      <c r="AT389" s="83"/>
      <c r="AU389" s="83"/>
      <c r="AV389" s="83"/>
      <c r="AW389" s="83"/>
      <c r="AX389" s="83"/>
      <c r="AY389" s="83"/>
      <c r="AZ389" s="83"/>
      <c r="BA389" s="83"/>
      <c r="BB389" s="83"/>
      <c r="BC389" s="83"/>
      <c r="BD389" s="83"/>
      <c r="BE389" s="83"/>
      <c r="BF389" s="83"/>
      <c r="BG389" s="83"/>
      <c r="BH389" s="83"/>
      <c r="BI389" s="83"/>
      <c r="BJ389" s="83"/>
      <c r="BK389" s="83"/>
      <c r="BL389" s="83"/>
      <c r="BM389" s="83"/>
      <c r="BN389" s="83"/>
      <c r="BO389" s="83"/>
      <c r="BP389" s="83"/>
      <c r="BQ389" s="83"/>
      <c r="BR389" s="83"/>
      <c r="BS389" s="83"/>
      <c r="BT389" s="83"/>
      <c r="BU389" s="83"/>
    </row>
    <row r="390" spans="15:73"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3"/>
      <c r="AF390" s="83"/>
      <c r="AG390" s="83"/>
      <c r="AH390" s="83"/>
      <c r="AI390" s="83"/>
      <c r="AJ390" s="83"/>
      <c r="AK390" s="83"/>
      <c r="AL390" s="83"/>
      <c r="AM390" s="83"/>
      <c r="AN390" s="83"/>
      <c r="AO390" s="83"/>
      <c r="AP390" s="83"/>
      <c r="AQ390" s="83"/>
      <c r="AR390" s="83"/>
      <c r="AS390" s="83"/>
      <c r="AT390" s="83"/>
      <c r="AU390" s="83"/>
      <c r="AV390" s="83"/>
      <c r="AW390" s="83"/>
      <c r="AX390" s="83"/>
      <c r="AY390" s="83"/>
      <c r="AZ390" s="83"/>
      <c r="BA390" s="83"/>
      <c r="BB390" s="83"/>
      <c r="BC390" s="83"/>
      <c r="BD390" s="83"/>
      <c r="BE390" s="83"/>
      <c r="BF390" s="83"/>
      <c r="BG390" s="83"/>
      <c r="BH390" s="83"/>
      <c r="BI390" s="83"/>
      <c r="BJ390" s="83"/>
      <c r="BK390" s="83"/>
      <c r="BL390" s="83"/>
      <c r="BM390" s="83"/>
      <c r="BN390" s="83"/>
      <c r="BO390" s="83"/>
      <c r="BP390" s="83"/>
      <c r="BQ390" s="83"/>
      <c r="BR390" s="83"/>
      <c r="BS390" s="83"/>
      <c r="BT390" s="83"/>
      <c r="BU390" s="83"/>
    </row>
    <row r="391" spans="15:73"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3"/>
      <c r="AH391" s="83"/>
      <c r="AI391" s="83"/>
      <c r="AJ391" s="83"/>
      <c r="AK391" s="83"/>
      <c r="AL391" s="83"/>
      <c r="AM391" s="83"/>
      <c r="AN391" s="83"/>
      <c r="AO391" s="83"/>
      <c r="AP391" s="83"/>
      <c r="AQ391" s="83"/>
      <c r="AR391" s="83"/>
      <c r="AS391" s="83"/>
      <c r="AT391" s="83"/>
      <c r="AU391" s="83"/>
      <c r="AV391" s="83"/>
      <c r="AW391" s="83"/>
      <c r="AX391" s="83"/>
      <c r="AY391" s="83"/>
      <c r="AZ391" s="83"/>
      <c r="BA391" s="83"/>
      <c r="BB391" s="83"/>
      <c r="BC391" s="83"/>
      <c r="BD391" s="83"/>
      <c r="BE391" s="83"/>
      <c r="BF391" s="83"/>
      <c r="BG391" s="83"/>
      <c r="BH391" s="83"/>
      <c r="BI391" s="83"/>
      <c r="BJ391" s="83"/>
      <c r="BK391" s="83"/>
      <c r="BL391" s="83"/>
      <c r="BM391" s="83"/>
      <c r="BN391" s="83"/>
      <c r="BO391" s="83"/>
      <c r="BP391" s="83"/>
      <c r="BQ391" s="83"/>
      <c r="BR391" s="83"/>
      <c r="BS391" s="83"/>
      <c r="BT391" s="83"/>
      <c r="BU391" s="83"/>
    </row>
    <row r="392" spans="15:73"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3"/>
      <c r="AH392" s="83"/>
      <c r="AI392" s="83"/>
      <c r="AJ392" s="83"/>
      <c r="AK392" s="83"/>
      <c r="AL392" s="83"/>
      <c r="AM392" s="83"/>
      <c r="AN392" s="83"/>
      <c r="AO392" s="83"/>
      <c r="AP392" s="83"/>
      <c r="AQ392" s="83"/>
      <c r="AR392" s="83"/>
      <c r="AS392" s="83"/>
      <c r="AT392" s="83"/>
      <c r="AU392" s="83"/>
      <c r="AV392" s="83"/>
      <c r="AW392" s="83"/>
      <c r="AX392" s="83"/>
      <c r="AY392" s="83"/>
      <c r="AZ392" s="83"/>
      <c r="BA392" s="83"/>
      <c r="BB392" s="83"/>
      <c r="BC392" s="83"/>
      <c r="BD392" s="83"/>
      <c r="BE392" s="83"/>
      <c r="BF392" s="83"/>
      <c r="BG392" s="83"/>
      <c r="BH392" s="83"/>
      <c r="BI392" s="83"/>
      <c r="BJ392" s="83"/>
      <c r="BK392" s="83"/>
      <c r="BL392" s="83"/>
      <c r="BM392" s="83"/>
      <c r="BN392" s="83"/>
      <c r="BO392" s="83"/>
      <c r="BP392" s="83"/>
      <c r="BQ392" s="83"/>
      <c r="BR392" s="83"/>
      <c r="BS392" s="83"/>
      <c r="BT392" s="83"/>
      <c r="BU392" s="83"/>
    </row>
    <row r="393" spans="15:73"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3"/>
      <c r="AH393" s="83"/>
      <c r="AI393" s="83"/>
      <c r="AJ393" s="83"/>
      <c r="AK393" s="83"/>
      <c r="AL393" s="83"/>
      <c r="AM393" s="83"/>
      <c r="AN393" s="83"/>
      <c r="AO393" s="83"/>
      <c r="AP393" s="83"/>
      <c r="AQ393" s="83"/>
      <c r="AR393" s="83"/>
      <c r="AS393" s="83"/>
      <c r="AT393" s="83"/>
      <c r="AU393" s="83"/>
      <c r="AV393" s="83"/>
      <c r="AW393" s="83"/>
      <c r="AX393" s="83"/>
      <c r="AY393" s="83"/>
      <c r="AZ393" s="83"/>
      <c r="BA393" s="83"/>
      <c r="BB393" s="83"/>
      <c r="BC393" s="83"/>
      <c r="BD393" s="83"/>
      <c r="BE393" s="83"/>
      <c r="BF393" s="83"/>
      <c r="BG393" s="83"/>
      <c r="BH393" s="83"/>
      <c r="BI393" s="83"/>
      <c r="BJ393" s="83"/>
      <c r="BK393" s="83"/>
      <c r="BL393" s="83"/>
      <c r="BM393" s="83"/>
      <c r="BN393" s="83"/>
      <c r="BO393" s="83"/>
      <c r="BP393" s="83"/>
      <c r="BQ393" s="83"/>
      <c r="BR393" s="83"/>
      <c r="BS393" s="83"/>
      <c r="BT393" s="83"/>
      <c r="BU393" s="83"/>
    </row>
    <row r="394" spans="15:73"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3"/>
      <c r="AH394" s="83"/>
      <c r="AI394" s="83"/>
      <c r="AJ394" s="83"/>
      <c r="AK394" s="83"/>
      <c r="AL394" s="83"/>
      <c r="AM394" s="83"/>
      <c r="AN394" s="83"/>
      <c r="AO394" s="83"/>
      <c r="AP394" s="83"/>
      <c r="AQ394" s="83"/>
      <c r="AR394" s="83"/>
      <c r="AS394" s="83"/>
      <c r="AT394" s="83"/>
      <c r="AU394" s="83"/>
      <c r="AV394" s="83"/>
      <c r="AW394" s="83"/>
      <c r="AX394" s="83"/>
      <c r="AY394" s="83"/>
      <c r="AZ394" s="83"/>
      <c r="BA394" s="83"/>
      <c r="BB394" s="83"/>
      <c r="BC394" s="83"/>
      <c r="BD394" s="83"/>
      <c r="BE394" s="83"/>
      <c r="BF394" s="83"/>
      <c r="BG394" s="83"/>
      <c r="BH394" s="83"/>
      <c r="BI394" s="83"/>
      <c r="BJ394" s="83"/>
      <c r="BK394" s="83"/>
      <c r="BL394" s="83"/>
      <c r="BM394" s="83"/>
      <c r="BN394" s="83"/>
      <c r="BO394" s="83"/>
      <c r="BP394" s="83"/>
      <c r="BQ394" s="83"/>
      <c r="BR394" s="83"/>
      <c r="BS394" s="83"/>
      <c r="BT394" s="83"/>
      <c r="BU394" s="83"/>
    </row>
    <row r="395" spans="15:73"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3"/>
      <c r="AH395" s="83"/>
      <c r="AI395" s="83"/>
      <c r="AJ395" s="83"/>
      <c r="AK395" s="83"/>
      <c r="AL395" s="83"/>
      <c r="AM395" s="83"/>
      <c r="AN395" s="83"/>
      <c r="AO395" s="83"/>
      <c r="AP395" s="83"/>
      <c r="AQ395" s="83"/>
      <c r="AR395" s="83"/>
      <c r="AS395" s="83"/>
      <c r="AT395" s="83"/>
      <c r="AU395" s="83"/>
      <c r="AV395" s="83"/>
      <c r="AW395" s="83"/>
      <c r="AX395" s="83"/>
      <c r="AY395" s="83"/>
      <c r="AZ395" s="83"/>
      <c r="BA395" s="83"/>
      <c r="BB395" s="83"/>
      <c r="BC395" s="83"/>
      <c r="BD395" s="83"/>
      <c r="BE395" s="83"/>
      <c r="BF395" s="83"/>
      <c r="BG395" s="83"/>
      <c r="BH395" s="83"/>
      <c r="BI395" s="83"/>
      <c r="BJ395" s="83"/>
      <c r="BK395" s="83"/>
      <c r="BL395" s="83"/>
      <c r="BM395" s="83"/>
      <c r="BN395" s="83"/>
      <c r="BO395" s="83"/>
      <c r="BP395" s="83"/>
      <c r="BQ395" s="83"/>
      <c r="BR395" s="83"/>
      <c r="BS395" s="83"/>
      <c r="BT395" s="83"/>
      <c r="BU395" s="83"/>
    </row>
    <row r="396" spans="15:73"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3"/>
      <c r="AH396" s="83"/>
      <c r="AI396" s="83"/>
      <c r="AJ396" s="83"/>
      <c r="AK396" s="83"/>
      <c r="AL396" s="83"/>
      <c r="AM396" s="83"/>
      <c r="AN396" s="83"/>
      <c r="AO396" s="83"/>
      <c r="AP396" s="83"/>
      <c r="AQ396" s="83"/>
      <c r="AR396" s="83"/>
      <c r="AS396" s="83"/>
      <c r="AT396" s="83"/>
      <c r="AU396" s="83"/>
      <c r="AV396" s="83"/>
      <c r="AW396" s="83"/>
      <c r="AX396" s="83"/>
      <c r="AY396" s="83"/>
      <c r="AZ396" s="83"/>
      <c r="BA396" s="83"/>
      <c r="BB396" s="83"/>
      <c r="BC396" s="83"/>
      <c r="BD396" s="83"/>
      <c r="BE396" s="83"/>
      <c r="BF396" s="83"/>
      <c r="BG396" s="83"/>
      <c r="BH396" s="83"/>
      <c r="BI396" s="83"/>
      <c r="BJ396" s="83"/>
      <c r="BK396" s="83"/>
      <c r="BL396" s="83"/>
      <c r="BM396" s="83"/>
      <c r="BN396" s="83"/>
      <c r="BO396" s="83"/>
      <c r="BP396" s="83"/>
      <c r="BQ396" s="83"/>
      <c r="BR396" s="83"/>
      <c r="BS396" s="83"/>
      <c r="BT396" s="83"/>
      <c r="BU396" s="83"/>
    </row>
    <row r="397" spans="15:73"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3"/>
      <c r="AH397" s="83"/>
      <c r="AI397" s="83"/>
      <c r="AJ397" s="83"/>
      <c r="AK397" s="83"/>
      <c r="AL397" s="83"/>
      <c r="AM397" s="83"/>
      <c r="AN397" s="83"/>
      <c r="AO397" s="83"/>
      <c r="AP397" s="83"/>
      <c r="AQ397" s="83"/>
      <c r="AR397" s="83"/>
      <c r="AS397" s="83"/>
      <c r="AT397" s="83"/>
      <c r="AU397" s="83"/>
      <c r="AV397" s="83"/>
      <c r="AW397" s="83"/>
      <c r="AX397" s="83"/>
      <c r="AY397" s="83"/>
      <c r="AZ397" s="83"/>
      <c r="BA397" s="83"/>
      <c r="BB397" s="83"/>
      <c r="BC397" s="83"/>
      <c r="BD397" s="83"/>
      <c r="BE397" s="83"/>
      <c r="BF397" s="83"/>
      <c r="BG397" s="83"/>
      <c r="BH397" s="83"/>
      <c r="BI397" s="83"/>
      <c r="BJ397" s="83"/>
      <c r="BK397" s="83"/>
      <c r="BL397" s="83"/>
      <c r="BM397" s="83"/>
      <c r="BN397" s="83"/>
      <c r="BO397" s="83"/>
      <c r="BP397" s="83"/>
      <c r="BQ397" s="83"/>
      <c r="BR397" s="83"/>
      <c r="BS397" s="83"/>
      <c r="BT397" s="83"/>
      <c r="BU397" s="83"/>
    </row>
    <row r="398" spans="15:73"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3"/>
      <c r="AH398" s="83"/>
      <c r="AI398" s="83"/>
      <c r="AJ398" s="83"/>
      <c r="AK398" s="83"/>
      <c r="AL398" s="83"/>
      <c r="AM398" s="83"/>
      <c r="AN398" s="83"/>
      <c r="AO398" s="83"/>
      <c r="AP398" s="83"/>
      <c r="AQ398" s="83"/>
      <c r="AR398" s="83"/>
      <c r="AS398" s="83"/>
      <c r="AT398" s="83"/>
      <c r="AU398" s="83"/>
      <c r="AV398" s="83"/>
      <c r="AW398" s="83"/>
      <c r="AX398" s="83"/>
      <c r="AY398" s="83"/>
      <c r="AZ398" s="83"/>
      <c r="BA398" s="83"/>
      <c r="BB398" s="83"/>
      <c r="BC398" s="83"/>
      <c r="BD398" s="83"/>
      <c r="BE398" s="83"/>
      <c r="BF398" s="83"/>
      <c r="BG398" s="83"/>
      <c r="BH398" s="83"/>
      <c r="BI398" s="83"/>
      <c r="BJ398" s="83"/>
      <c r="BK398" s="83"/>
      <c r="BL398" s="83"/>
      <c r="BM398" s="83"/>
      <c r="BN398" s="83"/>
      <c r="BO398" s="83"/>
      <c r="BP398" s="83"/>
      <c r="BQ398" s="83"/>
      <c r="BR398" s="83"/>
      <c r="BS398" s="83"/>
      <c r="BT398" s="83"/>
      <c r="BU398" s="83"/>
    </row>
    <row r="399" spans="15:73"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3"/>
      <c r="AH399" s="83"/>
      <c r="AI399" s="83"/>
      <c r="AJ399" s="83"/>
      <c r="AK399" s="83"/>
      <c r="AL399" s="83"/>
      <c r="AM399" s="83"/>
      <c r="AN399" s="83"/>
      <c r="AO399" s="83"/>
      <c r="AP399" s="83"/>
      <c r="AQ399" s="83"/>
      <c r="AR399" s="83"/>
      <c r="AS399" s="83"/>
      <c r="AT399" s="83"/>
      <c r="AU399" s="83"/>
      <c r="AV399" s="83"/>
      <c r="AW399" s="83"/>
      <c r="AX399" s="83"/>
      <c r="AY399" s="83"/>
      <c r="AZ399" s="83"/>
      <c r="BA399" s="83"/>
      <c r="BB399" s="83"/>
      <c r="BC399" s="83"/>
      <c r="BD399" s="83"/>
      <c r="BE399" s="83"/>
      <c r="BF399" s="83"/>
      <c r="BG399" s="83"/>
      <c r="BH399" s="83"/>
      <c r="BI399" s="83"/>
      <c r="BJ399" s="83"/>
      <c r="BK399" s="83"/>
      <c r="BL399" s="83"/>
      <c r="BM399" s="83"/>
      <c r="BN399" s="83"/>
      <c r="BO399" s="83"/>
      <c r="BP399" s="83"/>
      <c r="BQ399" s="83"/>
      <c r="BR399" s="83"/>
      <c r="BS399" s="83"/>
      <c r="BT399" s="83"/>
      <c r="BU399" s="83"/>
    </row>
    <row r="400" spans="15:73"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3"/>
      <c r="AH400" s="83"/>
      <c r="AI400" s="83"/>
      <c r="AJ400" s="83"/>
      <c r="AK400" s="83"/>
      <c r="AL400" s="83"/>
      <c r="AM400" s="83"/>
      <c r="AN400" s="83"/>
      <c r="AO400" s="83"/>
      <c r="AP400" s="83"/>
      <c r="AQ400" s="83"/>
      <c r="AR400" s="83"/>
      <c r="AS400" s="83"/>
      <c r="AT400" s="83"/>
      <c r="AU400" s="83"/>
      <c r="AV400" s="83"/>
      <c r="AW400" s="83"/>
      <c r="AX400" s="83"/>
      <c r="AY400" s="83"/>
      <c r="AZ400" s="83"/>
      <c r="BA400" s="83"/>
      <c r="BB400" s="83"/>
      <c r="BC400" s="83"/>
      <c r="BD400" s="83"/>
      <c r="BE400" s="83"/>
      <c r="BF400" s="83"/>
      <c r="BG400" s="83"/>
      <c r="BH400" s="83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</row>
    <row r="401" spans="15:73"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3"/>
      <c r="AH401" s="83"/>
      <c r="AI401" s="83"/>
      <c r="AJ401" s="83"/>
      <c r="AK401" s="83"/>
      <c r="AL401" s="83"/>
      <c r="AM401" s="83"/>
      <c r="AN401" s="83"/>
      <c r="AO401" s="83"/>
      <c r="AP401" s="83"/>
      <c r="AQ401" s="83"/>
      <c r="AR401" s="83"/>
      <c r="AS401" s="83"/>
      <c r="AT401" s="83"/>
      <c r="AU401" s="83"/>
      <c r="AV401" s="83"/>
      <c r="AW401" s="83"/>
      <c r="AX401" s="83"/>
      <c r="AY401" s="83"/>
      <c r="AZ401" s="83"/>
      <c r="BA401" s="83"/>
      <c r="BB401" s="83"/>
      <c r="BC401" s="83"/>
      <c r="BD401" s="83"/>
      <c r="BE401" s="83"/>
      <c r="BF401" s="83"/>
      <c r="BG401" s="83"/>
      <c r="BH401" s="83"/>
      <c r="BI401" s="83"/>
      <c r="BJ401" s="83"/>
      <c r="BK401" s="83"/>
      <c r="BL401" s="83"/>
      <c r="BM401" s="83"/>
      <c r="BN401" s="83"/>
      <c r="BO401" s="83"/>
      <c r="BP401" s="83"/>
      <c r="BQ401" s="83"/>
      <c r="BR401" s="83"/>
      <c r="BS401" s="83"/>
      <c r="BT401" s="83"/>
      <c r="BU401" s="83"/>
    </row>
    <row r="402" spans="15:73"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3"/>
      <c r="AH402" s="83"/>
      <c r="AI402" s="83"/>
      <c r="AJ402" s="83"/>
      <c r="AK402" s="83"/>
      <c r="AL402" s="83"/>
      <c r="AM402" s="83"/>
      <c r="AN402" s="83"/>
      <c r="AO402" s="83"/>
      <c r="AP402" s="83"/>
      <c r="AQ402" s="83"/>
      <c r="AR402" s="83"/>
      <c r="AS402" s="83"/>
      <c r="AT402" s="83"/>
      <c r="AU402" s="83"/>
      <c r="AV402" s="83"/>
      <c r="AW402" s="83"/>
      <c r="AX402" s="83"/>
      <c r="AY402" s="83"/>
      <c r="AZ402" s="83"/>
      <c r="BA402" s="83"/>
      <c r="BB402" s="83"/>
      <c r="BC402" s="83"/>
      <c r="BD402" s="83"/>
      <c r="BE402" s="83"/>
      <c r="BF402" s="83"/>
      <c r="BG402" s="83"/>
      <c r="BH402" s="83"/>
      <c r="BI402" s="83"/>
      <c r="BJ402" s="83"/>
      <c r="BK402" s="83"/>
      <c r="BL402" s="83"/>
      <c r="BM402" s="83"/>
      <c r="BN402" s="83"/>
      <c r="BO402" s="83"/>
      <c r="BP402" s="83"/>
      <c r="BQ402" s="83"/>
      <c r="BR402" s="83"/>
      <c r="BS402" s="83"/>
      <c r="BT402" s="83"/>
      <c r="BU402" s="83"/>
    </row>
    <row r="403" spans="15:73"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3"/>
      <c r="AH403" s="83"/>
      <c r="AI403" s="83"/>
      <c r="AJ403" s="83"/>
      <c r="AK403" s="83"/>
      <c r="AL403" s="83"/>
      <c r="AM403" s="83"/>
      <c r="AN403" s="83"/>
      <c r="AO403" s="83"/>
      <c r="AP403" s="83"/>
      <c r="AQ403" s="83"/>
      <c r="AR403" s="83"/>
      <c r="AS403" s="83"/>
      <c r="AT403" s="83"/>
      <c r="AU403" s="83"/>
      <c r="AV403" s="83"/>
      <c r="AW403" s="83"/>
      <c r="AX403" s="83"/>
      <c r="AY403" s="83"/>
      <c r="AZ403" s="83"/>
      <c r="BA403" s="83"/>
      <c r="BB403" s="83"/>
      <c r="BC403" s="83"/>
      <c r="BD403" s="83"/>
      <c r="BE403" s="83"/>
      <c r="BF403" s="83"/>
      <c r="BG403" s="83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</row>
    <row r="404" spans="15:73"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3"/>
      <c r="AH404" s="83"/>
      <c r="AI404" s="83"/>
      <c r="AJ404" s="83"/>
      <c r="AK404" s="83"/>
      <c r="AL404" s="83"/>
      <c r="AM404" s="83"/>
      <c r="AN404" s="83"/>
      <c r="AO404" s="83"/>
      <c r="AP404" s="83"/>
      <c r="AQ404" s="83"/>
      <c r="AR404" s="83"/>
      <c r="AS404" s="83"/>
      <c r="AT404" s="83"/>
      <c r="AU404" s="83"/>
      <c r="AV404" s="83"/>
      <c r="AW404" s="83"/>
      <c r="AX404" s="83"/>
      <c r="AY404" s="83"/>
      <c r="AZ404" s="83"/>
      <c r="BA404" s="83"/>
      <c r="BB404" s="83"/>
      <c r="BC404" s="83"/>
      <c r="BD404" s="83"/>
      <c r="BE404" s="83"/>
      <c r="BF404" s="83"/>
      <c r="BG404" s="83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</row>
    <row r="405" spans="15:73"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3"/>
      <c r="AH405" s="83"/>
      <c r="AI405" s="83"/>
      <c r="AJ405" s="83"/>
      <c r="AK405" s="83"/>
      <c r="AL405" s="83"/>
      <c r="AM405" s="83"/>
      <c r="AN405" s="83"/>
      <c r="AO405" s="83"/>
      <c r="AP405" s="83"/>
      <c r="AQ405" s="83"/>
      <c r="AR405" s="83"/>
      <c r="AS405" s="83"/>
      <c r="AT405" s="83"/>
      <c r="AU405" s="83"/>
      <c r="AV405" s="83"/>
      <c r="AW405" s="83"/>
      <c r="AX405" s="83"/>
      <c r="AY405" s="83"/>
      <c r="AZ405" s="83"/>
      <c r="BA405" s="83"/>
      <c r="BB405" s="83"/>
      <c r="BC405" s="83"/>
      <c r="BD405" s="83"/>
      <c r="BE405" s="83"/>
      <c r="BF405" s="83"/>
      <c r="BG405" s="83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</row>
    <row r="406" spans="15:73"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3"/>
      <c r="AH406" s="83"/>
      <c r="AI406" s="83"/>
      <c r="AJ406" s="83"/>
      <c r="AK406" s="83"/>
      <c r="AL406" s="83"/>
      <c r="AM406" s="83"/>
      <c r="AN406" s="83"/>
      <c r="AO406" s="83"/>
      <c r="AP406" s="83"/>
      <c r="AQ406" s="83"/>
      <c r="AR406" s="83"/>
      <c r="AS406" s="83"/>
      <c r="AT406" s="83"/>
      <c r="AU406" s="83"/>
      <c r="AV406" s="83"/>
      <c r="AW406" s="83"/>
      <c r="AX406" s="83"/>
      <c r="AY406" s="83"/>
      <c r="AZ406" s="83"/>
      <c r="BA406" s="83"/>
      <c r="BB406" s="83"/>
      <c r="BC406" s="83"/>
      <c r="BD406" s="83"/>
      <c r="BE406" s="83"/>
      <c r="BF406" s="83"/>
      <c r="BG406" s="83"/>
      <c r="BH406" s="83"/>
      <c r="BI406" s="83"/>
      <c r="BJ406" s="83"/>
      <c r="BK406" s="83"/>
      <c r="BL406" s="83"/>
      <c r="BM406" s="83"/>
      <c r="BN406" s="83"/>
      <c r="BO406" s="83"/>
      <c r="BP406" s="83"/>
      <c r="BQ406" s="83"/>
      <c r="BR406" s="83"/>
      <c r="BS406" s="83"/>
      <c r="BT406" s="83"/>
      <c r="BU406" s="83"/>
    </row>
    <row r="407" spans="15:73"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3"/>
      <c r="AH407" s="83"/>
      <c r="AI407" s="83"/>
      <c r="AJ407" s="83"/>
      <c r="AK407" s="83"/>
      <c r="AL407" s="83"/>
      <c r="AM407" s="83"/>
      <c r="AN407" s="83"/>
      <c r="AO407" s="83"/>
      <c r="AP407" s="83"/>
      <c r="AQ407" s="83"/>
      <c r="AR407" s="83"/>
      <c r="AS407" s="83"/>
      <c r="AT407" s="83"/>
      <c r="AU407" s="83"/>
      <c r="AV407" s="83"/>
      <c r="AW407" s="83"/>
      <c r="AX407" s="83"/>
      <c r="AY407" s="83"/>
      <c r="AZ407" s="83"/>
      <c r="BA407" s="83"/>
      <c r="BB407" s="83"/>
      <c r="BC407" s="83"/>
      <c r="BD407" s="83"/>
      <c r="BE407" s="83"/>
      <c r="BF407" s="83"/>
      <c r="BG407" s="83"/>
      <c r="BH407" s="83"/>
      <c r="BI407" s="83"/>
      <c r="BJ407" s="83"/>
      <c r="BK407" s="83"/>
      <c r="BL407" s="83"/>
      <c r="BM407" s="83"/>
      <c r="BN407" s="83"/>
      <c r="BO407" s="83"/>
      <c r="BP407" s="83"/>
      <c r="BQ407" s="83"/>
      <c r="BR407" s="83"/>
      <c r="BS407" s="83"/>
      <c r="BT407" s="83"/>
      <c r="BU407" s="83"/>
    </row>
    <row r="408" spans="15:73"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3"/>
      <c r="AH408" s="83"/>
      <c r="AI408" s="83"/>
      <c r="AJ408" s="83"/>
      <c r="AK408" s="83"/>
      <c r="AL408" s="83"/>
      <c r="AM408" s="83"/>
      <c r="AN408" s="83"/>
      <c r="AO408" s="83"/>
      <c r="AP408" s="83"/>
      <c r="AQ408" s="83"/>
      <c r="AR408" s="83"/>
      <c r="AS408" s="83"/>
      <c r="AT408" s="83"/>
      <c r="AU408" s="83"/>
      <c r="AV408" s="83"/>
      <c r="AW408" s="83"/>
      <c r="AX408" s="83"/>
      <c r="AY408" s="83"/>
      <c r="AZ408" s="83"/>
      <c r="BA408" s="83"/>
      <c r="BB408" s="83"/>
      <c r="BC408" s="83"/>
      <c r="BD408" s="83"/>
      <c r="BE408" s="83"/>
      <c r="BF408" s="83"/>
      <c r="BG408" s="83"/>
      <c r="BH408" s="83"/>
      <c r="BI408" s="83"/>
      <c r="BJ408" s="83"/>
      <c r="BK408" s="83"/>
      <c r="BL408" s="83"/>
      <c r="BM408" s="83"/>
      <c r="BN408" s="83"/>
      <c r="BO408" s="83"/>
      <c r="BP408" s="83"/>
      <c r="BQ408" s="83"/>
      <c r="BR408" s="83"/>
      <c r="BS408" s="83"/>
      <c r="BT408" s="83"/>
      <c r="BU408" s="83"/>
    </row>
    <row r="409" spans="15:73"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3"/>
      <c r="AH409" s="83"/>
      <c r="AI409" s="83"/>
      <c r="AJ409" s="83"/>
      <c r="AK409" s="83"/>
      <c r="AL409" s="83"/>
      <c r="AM409" s="83"/>
      <c r="AN409" s="83"/>
      <c r="AO409" s="83"/>
      <c r="AP409" s="83"/>
      <c r="AQ409" s="83"/>
      <c r="AR409" s="83"/>
      <c r="AS409" s="83"/>
      <c r="AT409" s="83"/>
      <c r="AU409" s="83"/>
      <c r="AV409" s="83"/>
      <c r="AW409" s="83"/>
      <c r="AX409" s="83"/>
      <c r="AY409" s="83"/>
      <c r="AZ409" s="83"/>
      <c r="BA409" s="83"/>
      <c r="BB409" s="83"/>
      <c r="BC409" s="83"/>
      <c r="BD409" s="83"/>
      <c r="BE409" s="83"/>
      <c r="BF409" s="83"/>
      <c r="BG409" s="83"/>
      <c r="BH409" s="83"/>
      <c r="BI409" s="83"/>
      <c r="BJ409" s="83"/>
      <c r="BK409" s="83"/>
      <c r="BL409" s="83"/>
      <c r="BM409" s="83"/>
      <c r="BN409" s="83"/>
      <c r="BO409" s="83"/>
      <c r="BP409" s="83"/>
      <c r="BQ409" s="83"/>
      <c r="BR409" s="83"/>
      <c r="BS409" s="83"/>
      <c r="BT409" s="83"/>
      <c r="BU409" s="83"/>
    </row>
    <row r="410" spans="15:73"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3"/>
      <c r="AH410" s="83"/>
      <c r="AI410" s="83"/>
      <c r="AJ410" s="83"/>
      <c r="AK410" s="83"/>
      <c r="AL410" s="83"/>
      <c r="AM410" s="83"/>
      <c r="AN410" s="83"/>
      <c r="AO410" s="83"/>
      <c r="AP410" s="83"/>
      <c r="AQ410" s="83"/>
      <c r="AR410" s="83"/>
      <c r="AS410" s="83"/>
      <c r="AT410" s="83"/>
      <c r="AU410" s="83"/>
      <c r="AV410" s="83"/>
      <c r="AW410" s="83"/>
      <c r="AX410" s="83"/>
      <c r="AY410" s="83"/>
      <c r="AZ410" s="83"/>
      <c r="BA410" s="83"/>
      <c r="BB410" s="83"/>
      <c r="BC410" s="83"/>
      <c r="BD410" s="83"/>
      <c r="BE410" s="83"/>
      <c r="BF410" s="83"/>
      <c r="BG410" s="83"/>
      <c r="BH410" s="83"/>
      <c r="BI410" s="83"/>
      <c r="BJ410" s="83"/>
      <c r="BK410" s="83"/>
      <c r="BL410" s="83"/>
      <c r="BM410" s="83"/>
      <c r="BN410" s="83"/>
      <c r="BO410" s="83"/>
      <c r="BP410" s="83"/>
      <c r="BQ410" s="83"/>
      <c r="BR410" s="83"/>
      <c r="BS410" s="83"/>
      <c r="BT410" s="83"/>
      <c r="BU410" s="83"/>
    </row>
    <row r="411" spans="15:73"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3"/>
      <c r="AH411" s="83"/>
      <c r="AI411" s="83"/>
      <c r="AJ411" s="83"/>
      <c r="AK411" s="83"/>
      <c r="AL411" s="83"/>
      <c r="AM411" s="83"/>
      <c r="AN411" s="83"/>
      <c r="AO411" s="83"/>
      <c r="AP411" s="83"/>
      <c r="AQ411" s="83"/>
      <c r="AR411" s="83"/>
      <c r="AS411" s="83"/>
      <c r="AT411" s="83"/>
      <c r="AU411" s="83"/>
      <c r="AV411" s="83"/>
      <c r="AW411" s="83"/>
      <c r="AX411" s="83"/>
      <c r="AY411" s="83"/>
      <c r="AZ411" s="83"/>
      <c r="BA411" s="83"/>
      <c r="BB411" s="83"/>
      <c r="BC411" s="83"/>
      <c r="BD411" s="83"/>
      <c r="BE411" s="83"/>
      <c r="BF411" s="83"/>
      <c r="BG411" s="83"/>
      <c r="BH411" s="83"/>
      <c r="BI411" s="83"/>
      <c r="BJ411" s="83"/>
      <c r="BK411" s="83"/>
      <c r="BL411" s="83"/>
      <c r="BM411" s="83"/>
      <c r="BN411" s="83"/>
      <c r="BO411" s="83"/>
      <c r="BP411" s="83"/>
      <c r="BQ411" s="83"/>
      <c r="BR411" s="83"/>
      <c r="BS411" s="83"/>
      <c r="BT411" s="83"/>
      <c r="BU411" s="83"/>
    </row>
    <row r="412" spans="15:73"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3"/>
      <c r="AH412" s="83"/>
      <c r="AI412" s="83"/>
      <c r="AJ412" s="83"/>
      <c r="AK412" s="83"/>
      <c r="AL412" s="83"/>
      <c r="AM412" s="83"/>
      <c r="AN412" s="83"/>
      <c r="AO412" s="83"/>
      <c r="AP412" s="83"/>
      <c r="AQ412" s="83"/>
      <c r="AR412" s="83"/>
      <c r="AS412" s="83"/>
      <c r="AT412" s="83"/>
      <c r="AU412" s="83"/>
      <c r="AV412" s="83"/>
      <c r="AW412" s="83"/>
      <c r="AX412" s="83"/>
      <c r="AY412" s="83"/>
      <c r="AZ412" s="83"/>
      <c r="BA412" s="83"/>
      <c r="BB412" s="83"/>
      <c r="BC412" s="83"/>
      <c r="BD412" s="83"/>
      <c r="BE412" s="83"/>
      <c r="BF412" s="83"/>
      <c r="BG412" s="83"/>
      <c r="BH412" s="83"/>
      <c r="BI412" s="83"/>
      <c r="BJ412" s="83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</row>
    <row r="413" spans="15:73"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3"/>
      <c r="AH413" s="83"/>
      <c r="AI413" s="83"/>
      <c r="AJ413" s="83"/>
      <c r="AK413" s="83"/>
      <c r="AL413" s="83"/>
      <c r="AM413" s="83"/>
      <c r="AN413" s="83"/>
      <c r="AO413" s="83"/>
      <c r="AP413" s="83"/>
      <c r="AQ413" s="83"/>
      <c r="AR413" s="83"/>
      <c r="AS413" s="83"/>
      <c r="AT413" s="83"/>
      <c r="AU413" s="83"/>
      <c r="AV413" s="83"/>
      <c r="AW413" s="83"/>
      <c r="AX413" s="83"/>
      <c r="AY413" s="83"/>
      <c r="AZ413" s="83"/>
      <c r="BA413" s="83"/>
      <c r="BB413" s="83"/>
      <c r="BC413" s="83"/>
      <c r="BD413" s="83"/>
      <c r="BE413" s="83"/>
      <c r="BF413" s="83"/>
      <c r="BG413" s="83"/>
      <c r="BH413" s="83"/>
      <c r="BI413" s="83"/>
      <c r="BJ413" s="83"/>
      <c r="BK413" s="83"/>
      <c r="BL413" s="83"/>
      <c r="BM413" s="83"/>
      <c r="BN413" s="83"/>
      <c r="BO413" s="83"/>
      <c r="BP413" s="83"/>
      <c r="BQ413" s="83"/>
      <c r="BR413" s="83"/>
      <c r="BS413" s="83"/>
      <c r="BT413" s="83"/>
      <c r="BU413" s="83"/>
    </row>
    <row r="414" spans="15:73"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3"/>
      <c r="AH414" s="83"/>
      <c r="AI414" s="83"/>
      <c r="AJ414" s="83"/>
      <c r="AK414" s="83"/>
      <c r="AL414" s="83"/>
      <c r="AM414" s="83"/>
      <c r="AN414" s="83"/>
      <c r="AO414" s="83"/>
      <c r="AP414" s="83"/>
      <c r="AQ414" s="83"/>
      <c r="AR414" s="83"/>
      <c r="AS414" s="83"/>
      <c r="AT414" s="83"/>
      <c r="AU414" s="83"/>
      <c r="AV414" s="83"/>
      <c r="AW414" s="83"/>
      <c r="AX414" s="83"/>
      <c r="AY414" s="83"/>
      <c r="AZ414" s="83"/>
      <c r="BA414" s="83"/>
      <c r="BB414" s="83"/>
      <c r="BC414" s="83"/>
      <c r="BD414" s="83"/>
      <c r="BE414" s="83"/>
      <c r="BF414" s="83"/>
      <c r="BG414" s="83"/>
      <c r="BH414" s="83"/>
      <c r="BI414" s="83"/>
      <c r="BJ414" s="83"/>
      <c r="BK414" s="83"/>
      <c r="BL414" s="83"/>
      <c r="BM414" s="83"/>
      <c r="BN414" s="83"/>
      <c r="BO414" s="83"/>
      <c r="BP414" s="83"/>
      <c r="BQ414" s="83"/>
      <c r="BR414" s="83"/>
      <c r="BS414" s="83"/>
      <c r="BT414" s="83"/>
      <c r="BU414" s="83"/>
    </row>
    <row r="415" spans="15:73"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3"/>
      <c r="AH415" s="83"/>
      <c r="AI415" s="83"/>
      <c r="AJ415" s="83"/>
      <c r="AK415" s="83"/>
      <c r="AL415" s="83"/>
      <c r="AM415" s="83"/>
      <c r="AN415" s="83"/>
      <c r="AO415" s="83"/>
      <c r="AP415" s="83"/>
      <c r="AQ415" s="83"/>
      <c r="AR415" s="83"/>
      <c r="AS415" s="83"/>
      <c r="AT415" s="83"/>
      <c r="AU415" s="83"/>
      <c r="AV415" s="83"/>
      <c r="AW415" s="83"/>
      <c r="AX415" s="83"/>
      <c r="AY415" s="83"/>
      <c r="AZ415" s="83"/>
      <c r="BA415" s="83"/>
      <c r="BB415" s="83"/>
      <c r="BC415" s="83"/>
      <c r="BD415" s="83"/>
      <c r="BE415" s="83"/>
      <c r="BF415" s="83"/>
      <c r="BG415" s="83"/>
      <c r="BH415" s="83"/>
      <c r="BI415" s="83"/>
      <c r="BJ415" s="83"/>
      <c r="BK415" s="83"/>
      <c r="BL415" s="83"/>
      <c r="BM415" s="83"/>
      <c r="BN415" s="83"/>
      <c r="BO415" s="83"/>
      <c r="BP415" s="83"/>
      <c r="BQ415" s="83"/>
      <c r="BR415" s="83"/>
      <c r="BS415" s="83"/>
      <c r="BT415" s="83"/>
      <c r="BU415" s="83"/>
    </row>
    <row r="416" spans="15:73"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3"/>
      <c r="AH416" s="83"/>
      <c r="AI416" s="83"/>
      <c r="AJ416" s="83"/>
      <c r="AK416" s="83"/>
      <c r="AL416" s="83"/>
      <c r="AM416" s="83"/>
      <c r="AN416" s="83"/>
      <c r="AO416" s="83"/>
      <c r="AP416" s="83"/>
      <c r="AQ416" s="83"/>
      <c r="AR416" s="83"/>
      <c r="AS416" s="83"/>
      <c r="AT416" s="83"/>
      <c r="AU416" s="83"/>
      <c r="AV416" s="83"/>
      <c r="AW416" s="83"/>
      <c r="AX416" s="83"/>
      <c r="AY416" s="83"/>
      <c r="AZ416" s="83"/>
      <c r="BA416" s="83"/>
      <c r="BB416" s="83"/>
      <c r="BC416" s="83"/>
      <c r="BD416" s="83"/>
      <c r="BE416" s="83"/>
      <c r="BF416" s="83"/>
      <c r="BG416" s="83"/>
      <c r="BH416" s="83"/>
      <c r="BI416" s="83"/>
      <c r="BJ416" s="83"/>
      <c r="BK416" s="83"/>
      <c r="BL416" s="83"/>
      <c r="BM416" s="83"/>
      <c r="BN416" s="83"/>
      <c r="BO416" s="83"/>
      <c r="BP416" s="83"/>
      <c r="BQ416" s="83"/>
      <c r="BR416" s="83"/>
      <c r="BS416" s="83"/>
      <c r="BT416" s="83"/>
      <c r="BU416" s="83"/>
    </row>
    <row r="417" spans="15:73"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3"/>
      <c r="AH417" s="83"/>
      <c r="AI417" s="83"/>
      <c r="AJ417" s="83"/>
      <c r="AK417" s="83"/>
      <c r="AL417" s="83"/>
      <c r="AM417" s="83"/>
      <c r="AN417" s="83"/>
      <c r="AO417" s="83"/>
      <c r="AP417" s="83"/>
      <c r="AQ417" s="83"/>
      <c r="AR417" s="83"/>
      <c r="AS417" s="83"/>
      <c r="AT417" s="83"/>
      <c r="AU417" s="83"/>
      <c r="AV417" s="83"/>
      <c r="AW417" s="83"/>
      <c r="AX417" s="83"/>
      <c r="AY417" s="83"/>
      <c r="AZ417" s="83"/>
      <c r="BA417" s="83"/>
      <c r="BB417" s="83"/>
      <c r="BC417" s="83"/>
      <c r="BD417" s="83"/>
      <c r="BE417" s="83"/>
      <c r="BF417" s="83"/>
      <c r="BG417" s="83"/>
      <c r="BH417" s="83"/>
      <c r="BI417" s="83"/>
      <c r="BJ417" s="83"/>
      <c r="BK417" s="83"/>
      <c r="BL417" s="83"/>
      <c r="BM417" s="83"/>
      <c r="BN417" s="83"/>
      <c r="BO417" s="83"/>
      <c r="BP417" s="83"/>
      <c r="BQ417" s="83"/>
      <c r="BR417" s="83"/>
      <c r="BS417" s="83"/>
      <c r="BT417" s="83"/>
      <c r="BU417" s="83"/>
    </row>
    <row r="418" spans="15:73"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3"/>
      <c r="AH418" s="83"/>
      <c r="AI418" s="83"/>
      <c r="AJ418" s="83"/>
      <c r="AK418" s="83"/>
      <c r="AL418" s="83"/>
      <c r="AM418" s="83"/>
      <c r="AN418" s="83"/>
      <c r="AO418" s="83"/>
      <c r="AP418" s="83"/>
      <c r="AQ418" s="83"/>
      <c r="AR418" s="83"/>
      <c r="AS418" s="83"/>
      <c r="AT418" s="83"/>
      <c r="AU418" s="83"/>
      <c r="AV418" s="83"/>
      <c r="AW418" s="83"/>
      <c r="AX418" s="83"/>
      <c r="AY418" s="83"/>
      <c r="AZ418" s="83"/>
      <c r="BA418" s="83"/>
      <c r="BB418" s="83"/>
      <c r="BC418" s="83"/>
      <c r="BD418" s="83"/>
      <c r="BE418" s="83"/>
      <c r="BF418" s="83"/>
      <c r="BG418" s="83"/>
      <c r="BH418" s="83"/>
      <c r="BI418" s="83"/>
      <c r="BJ418" s="83"/>
      <c r="BK418" s="83"/>
      <c r="BL418" s="83"/>
      <c r="BM418" s="83"/>
      <c r="BN418" s="83"/>
      <c r="BO418" s="83"/>
      <c r="BP418" s="83"/>
      <c r="BQ418" s="83"/>
      <c r="BR418" s="83"/>
      <c r="BS418" s="83"/>
      <c r="BT418" s="83"/>
      <c r="BU418" s="83"/>
    </row>
    <row r="419" spans="15:73"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3"/>
      <c r="AH419" s="83"/>
      <c r="AI419" s="83"/>
      <c r="AJ419" s="83"/>
      <c r="AK419" s="83"/>
      <c r="AL419" s="83"/>
      <c r="AM419" s="83"/>
      <c r="AN419" s="83"/>
      <c r="AO419" s="83"/>
      <c r="AP419" s="83"/>
      <c r="AQ419" s="83"/>
      <c r="AR419" s="83"/>
      <c r="AS419" s="83"/>
      <c r="AT419" s="83"/>
      <c r="AU419" s="83"/>
      <c r="AV419" s="83"/>
      <c r="AW419" s="83"/>
      <c r="AX419" s="83"/>
      <c r="AY419" s="83"/>
      <c r="AZ419" s="83"/>
      <c r="BA419" s="83"/>
      <c r="BB419" s="83"/>
      <c r="BC419" s="83"/>
      <c r="BD419" s="83"/>
      <c r="BE419" s="83"/>
      <c r="BF419" s="83"/>
      <c r="BG419" s="83"/>
      <c r="BH419" s="83"/>
      <c r="BI419" s="83"/>
      <c r="BJ419" s="83"/>
      <c r="BK419" s="83"/>
      <c r="BL419" s="83"/>
      <c r="BM419" s="83"/>
      <c r="BN419" s="83"/>
      <c r="BO419" s="83"/>
      <c r="BP419" s="83"/>
      <c r="BQ419" s="83"/>
      <c r="BR419" s="83"/>
      <c r="BS419" s="83"/>
      <c r="BT419" s="83"/>
      <c r="BU419" s="83"/>
    </row>
    <row r="420" spans="15:73"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3"/>
      <c r="AH420" s="83"/>
      <c r="AI420" s="83"/>
      <c r="AJ420" s="83"/>
      <c r="AK420" s="83"/>
      <c r="AL420" s="83"/>
      <c r="AM420" s="83"/>
      <c r="AN420" s="83"/>
      <c r="AO420" s="83"/>
      <c r="AP420" s="83"/>
      <c r="AQ420" s="83"/>
      <c r="AR420" s="83"/>
      <c r="AS420" s="83"/>
      <c r="AT420" s="83"/>
      <c r="AU420" s="83"/>
      <c r="AV420" s="83"/>
      <c r="AW420" s="83"/>
      <c r="AX420" s="83"/>
      <c r="AY420" s="83"/>
      <c r="AZ420" s="83"/>
      <c r="BA420" s="83"/>
      <c r="BB420" s="83"/>
      <c r="BC420" s="83"/>
      <c r="BD420" s="83"/>
      <c r="BE420" s="83"/>
      <c r="BF420" s="83"/>
      <c r="BG420" s="83"/>
      <c r="BH420" s="83"/>
      <c r="BI420" s="83"/>
      <c r="BJ420" s="83"/>
      <c r="BK420" s="83"/>
      <c r="BL420" s="83"/>
      <c r="BM420" s="83"/>
      <c r="BN420" s="83"/>
      <c r="BO420" s="83"/>
      <c r="BP420" s="83"/>
      <c r="BQ420" s="83"/>
      <c r="BR420" s="83"/>
      <c r="BS420" s="83"/>
      <c r="BT420" s="83"/>
      <c r="BU420" s="83"/>
    </row>
    <row r="421" spans="15:73"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3"/>
      <c r="AH421" s="83"/>
      <c r="AI421" s="83"/>
      <c r="AJ421" s="83"/>
      <c r="AK421" s="83"/>
      <c r="AL421" s="83"/>
      <c r="AM421" s="83"/>
      <c r="AN421" s="83"/>
      <c r="AO421" s="83"/>
      <c r="AP421" s="83"/>
      <c r="AQ421" s="83"/>
      <c r="AR421" s="83"/>
      <c r="AS421" s="83"/>
      <c r="AT421" s="83"/>
      <c r="AU421" s="83"/>
      <c r="AV421" s="83"/>
      <c r="AW421" s="83"/>
      <c r="AX421" s="83"/>
      <c r="AY421" s="83"/>
      <c r="AZ421" s="83"/>
      <c r="BA421" s="83"/>
      <c r="BB421" s="83"/>
      <c r="BC421" s="83"/>
      <c r="BD421" s="83"/>
      <c r="BE421" s="83"/>
      <c r="BF421" s="83"/>
      <c r="BG421" s="83"/>
      <c r="BH421" s="83"/>
      <c r="BI421" s="83"/>
      <c r="BJ421" s="83"/>
      <c r="BK421" s="83"/>
      <c r="BL421" s="83"/>
      <c r="BM421" s="83"/>
      <c r="BN421" s="83"/>
      <c r="BO421" s="83"/>
      <c r="BP421" s="83"/>
      <c r="BQ421" s="83"/>
      <c r="BR421" s="83"/>
      <c r="BS421" s="83"/>
      <c r="BT421" s="83"/>
      <c r="BU421" s="83"/>
    </row>
    <row r="422" spans="15:73"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H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U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H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U422" s="83"/>
    </row>
    <row r="423" spans="15:73"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H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U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H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U423" s="83"/>
    </row>
    <row r="424" spans="15:73"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H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U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H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U424" s="83"/>
    </row>
    <row r="425" spans="15:73"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3"/>
      <c r="AH425" s="83"/>
      <c r="AI425" s="83"/>
      <c r="AJ425" s="83"/>
      <c r="AK425" s="83"/>
      <c r="AL425" s="83"/>
      <c r="AM425" s="83"/>
      <c r="AN425" s="83"/>
      <c r="AO425" s="83"/>
      <c r="AP425" s="83"/>
      <c r="AQ425" s="83"/>
      <c r="AR425" s="83"/>
      <c r="AS425" s="83"/>
      <c r="AT425" s="83"/>
      <c r="AU425" s="83"/>
      <c r="AV425" s="83"/>
      <c r="AW425" s="83"/>
      <c r="AX425" s="83"/>
      <c r="AY425" s="83"/>
      <c r="AZ425" s="83"/>
      <c r="BA425" s="83"/>
      <c r="BB425" s="83"/>
      <c r="BC425" s="83"/>
      <c r="BD425" s="83"/>
      <c r="BE425" s="83"/>
      <c r="BF425" s="83"/>
      <c r="BG425" s="83"/>
      <c r="BH425" s="83"/>
      <c r="BI425" s="83"/>
      <c r="BJ425" s="83"/>
      <c r="BK425" s="83"/>
      <c r="BL425" s="83"/>
      <c r="BM425" s="83"/>
      <c r="BN425" s="83"/>
      <c r="BO425" s="83"/>
      <c r="BP425" s="83"/>
      <c r="BQ425" s="83"/>
      <c r="BR425" s="83"/>
      <c r="BS425" s="83"/>
      <c r="BT425" s="83"/>
      <c r="BU425" s="83"/>
    </row>
    <row r="426" spans="15:73"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3"/>
      <c r="AH426" s="83"/>
      <c r="AI426" s="83"/>
      <c r="AJ426" s="83"/>
      <c r="AK426" s="83"/>
      <c r="AL426" s="83"/>
      <c r="AM426" s="83"/>
      <c r="AN426" s="83"/>
      <c r="AO426" s="83"/>
      <c r="AP426" s="83"/>
      <c r="AQ426" s="83"/>
      <c r="AR426" s="83"/>
      <c r="AS426" s="83"/>
      <c r="AT426" s="83"/>
      <c r="AU426" s="83"/>
      <c r="AV426" s="83"/>
      <c r="AW426" s="83"/>
      <c r="AX426" s="83"/>
      <c r="AY426" s="83"/>
      <c r="AZ426" s="83"/>
      <c r="BA426" s="83"/>
      <c r="BB426" s="83"/>
      <c r="BC426" s="83"/>
      <c r="BD426" s="83"/>
      <c r="BE426" s="83"/>
      <c r="BF426" s="83"/>
      <c r="BG426" s="83"/>
      <c r="BH426" s="83"/>
      <c r="BI426" s="83"/>
      <c r="BJ426" s="83"/>
      <c r="BK426" s="83"/>
      <c r="BL426" s="83"/>
      <c r="BM426" s="83"/>
      <c r="BN426" s="83"/>
      <c r="BO426" s="83"/>
      <c r="BP426" s="83"/>
      <c r="BQ426" s="83"/>
      <c r="BR426" s="83"/>
      <c r="BS426" s="83"/>
      <c r="BT426" s="83"/>
      <c r="BU426" s="83"/>
    </row>
    <row r="427" spans="15:73"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3"/>
      <c r="AH427" s="83"/>
      <c r="AI427" s="83"/>
      <c r="AJ427" s="83"/>
      <c r="AK427" s="83"/>
      <c r="AL427" s="83"/>
      <c r="AM427" s="83"/>
      <c r="AN427" s="83"/>
      <c r="AO427" s="83"/>
      <c r="AP427" s="83"/>
      <c r="AQ427" s="83"/>
      <c r="AR427" s="83"/>
      <c r="AS427" s="83"/>
      <c r="AT427" s="83"/>
      <c r="AU427" s="83"/>
      <c r="AV427" s="83"/>
      <c r="AW427" s="83"/>
      <c r="AX427" s="83"/>
      <c r="AY427" s="83"/>
      <c r="AZ427" s="83"/>
      <c r="BA427" s="83"/>
      <c r="BB427" s="83"/>
      <c r="BC427" s="83"/>
      <c r="BD427" s="83"/>
      <c r="BE427" s="83"/>
      <c r="BF427" s="83"/>
      <c r="BG427" s="83"/>
      <c r="BH427" s="83"/>
      <c r="BI427" s="83"/>
      <c r="BJ427" s="83"/>
      <c r="BK427" s="83"/>
      <c r="BL427" s="83"/>
      <c r="BM427" s="83"/>
      <c r="BN427" s="83"/>
      <c r="BO427" s="83"/>
      <c r="BP427" s="83"/>
      <c r="BQ427" s="83"/>
      <c r="BR427" s="83"/>
      <c r="BS427" s="83"/>
      <c r="BT427" s="83"/>
      <c r="BU427" s="83"/>
    </row>
    <row r="428" spans="15:73"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3"/>
      <c r="AH428" s="83"/>
      <c r="AI428" s="83"/>
      <c r="AJ428" s="83"/>
      <c r="AK428" s="83"/>
      <c r="AL428" s="83"/>
      <c r="AM428" s="83"/>
      <c r="AN428" s="83"/>
      <c r="AO428" s="83"/>
      <c r="AP428" s="83"/>
      <c r="AQ428" s="83"/>
      <c r="AR428" s="83"/>
      <c r="AS428" s="83"/>
      <c r="AT428" s="83"/>
      <c r="AU428" s="83"/>
      <c r="AV428" s="83"/>
      <c r="AW428" s="83"/>
      <c r="AX428" s="83"/>
      <c r="AY428" s="83"/>
      <c r="AZ428" s="83"/>
      <c r="BA428" s="83"/>
      <c r="BB428" s="83"/>
      <c r="BC428" s="83"/>
      <c r="BD428" s="83"/>
      <c r="BE428" s="83"/>
      <c r="BF428" s="83"/>
      <c r="BG428" s="83"/>
      <c r="BH428" s="83"/>
      <c r="BI428" s="83"/>
      <c r="BJ428" s="83"/>
      <c r="BK428" s="83"/>
      <c r="BL428" s="83"/>
      <c r="BM428" s="83"/>
      <c r="BN428" s="83"/>
      <c r="BO428" s="83"/>
      <c r="BP428" s="83"/>
      <c r="BQ428" s="83"/>
      <c r="BR428" s="83"/>
      <c r="BS428" s="83"/>
      <c r="BT428" s="83"/>
      <c r="BU428" s="83"/>
    </row>
    <row r="429" spans="15:73"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3"/>
      <c r="AH429" s="83"/>
      <c r="AI429" s="83"/>
      <c r="AJ429" s="83"/>
      <c r="AK429" s="83"/>
      <c r="AL429" s="83"/>
      <c r="AM429" s="83"/>
      <c r="AN429" s="83"/>
      <c r="AO429" s="83"/>
      <c r="AP429" s="83"/>
      <c r="AQ429" s="83"/>
      <c r="AR429" s="83"/>
      <c r="AS429" s="83"/>
      <c r="AT429" s="83"/>
      <c r="AU429" s="83"/>
      <c r="AV429" s="83"/>
      <c r="AW429" s="83"/>
      <c r="AX429" s="83"/>
      <c r="AY429" s="83"/>
      <c r="AZ429" s="83"/>
      <c r="BA429" s="83"/>
      <c r="BB429" s="83"/>
      <c r="BC429" s="83"/>
      <c r="BD429" s="83"/>
      <c r="BE429" s="83"/>
      <c r="BF429" s="83"/>
      <c r="BG429" s="83"/>
      <c r="BH429" s="83"/>
      <c r="BI429" s="83"/>
      <c r="BJ429" s="83"/>
      <c r="BK429" s="83"/>
      <c r="BL429" s="83"/>
      <c r="BM429" s="83"/>
      <c r="BN429" s="83"/>
      <c r="BO429" s="83"/>
      <c r="BP429" s="83"/>
      <c r="BQ429" s="83"/>
      <c r="BR429" s="83"/>
      <c r="BS429" s="83"/>
      <c r="BT429" s="83"/>
      <c r="BU429" s="83"/>
    </row>
    <row r="430" spans="15:73"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3"/>
      <c r="AH430" s="83"/>
      <c r="AI430" s="83"/>
      <c r="AJ430" s="83"/>
      <c r="AK430" s="83"/>
      <c r="AL430" s="83"/>
      <c r="AM430" s="83"/>
      <c r="AN430" s="83"/>
      <c r="AO430" s="83"/>
      <c r="AP430" s="83"/>
      <c r="AQ430" s="83"/>
      <c r="AR430" s="83"/>
      <c r="AS430" s="83"/>
      <c r="AT430" s="83"/>
      <c r="AU430" s="83"/>
      <c r="AV430" s="83"/>
      <c r="AW430" s="83"/>
      <c r="AX430" s="83"/>
      <c r="AY430" s="83"/>
      <c r="AZ430" s="83"/>
      <c r="BA430" s="83"/>
      <c r="BB430" s="83"/>
      <c r="BC430" s="83"/>
      <c r="BD430" s="83"/>
      <c r="BE430" s="83"/>
      <c r="BF430" s="83"/>
      <c r="BG430" s="83"/>
      <c r="BH430" s="83"/>
      <c r="BI430" s="83"/>
      <c r="BJ430" s="83"/>
      <c r="BK430" s="83"/>
      <c r="BL430" s="83"/>
      <c r="BM430" s="83"/>
      <c r="BN430" s="83"/>
      <c r="BO430" s="83"/>
      <c r="BP430" s="83"/>
      <c r="BQ430" s="83"/>
      <c r="BR430" s="83"/>
      <c r="BS430" s="83"/>
      <c r="BT430" s="83"/>
      <c r="BU430" s="83"/>
    </row>
    <row r="431" spans="15:73"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3"/>
      <c r="AH431" s="83"/>
      <c r="AI431" s="83"/>
      <c r="AJ431" s="83"/>
      <c r="AK431" s="83"/>
      <c r="AL431" s="83"/>
      <c r="AM431" s="83"/>
      <c r="AN431" s="83"/>
      <c r="AO431" s="83"/>
      <c r="AP431" s="83"/>
      <c r="AQ431" s="83"/>
      <c r="AR431" s="83"/>
      <c r="AS431" s="83"/>
      <c r="AT431" s="83"/>
      <c r="AU431" s="83"/>
      <c r="AV431" s="83"/>
      <c r="AW431" s="83"/>
      <c r="AX431" s="83"/>
      <c r="AY431" s="83"/>
      <c r="AZ431" s="83"/>
      <c r="BA431" s="83"/>
      <c r="BB431" s="83"/>
      <c r="BC431" s="83"/>
      <c r="BD431" s="83"/>
      <c r="BE431" s="83"/>
      <c r="BF431" s="83"/>
      <c r="BG431" s="83"/>
      <c r="BH431" s="83"/>
      <c r="BI431" s="83"/>
      <c r="BJ431" s="83"/>
      <c r="BK431" s="83"/>
      <c r="BL431" s="83"/>
      <c r="BM431" s="83"/>
      <c r="BN431" s="83"/>
      <c r="BO431" s="83"/>
      <c r="BP431" s="83"/>
      <c r="BQ431" s="83"/>
      <c r="BR431" s="83"/>
      <c r="BS431" s="83"/>
      <c r="BT431" s="83"/>
      <c r="BU431" s="83"/>
    </row>
    <row r="432" spans="15:73"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3"/>
      <c r="AH432" s="83"/>
      <c r="AI432" s="83"/>
      <c r="AJ432" s="83"/>
      <c r="AK432" s="83"/>
      <c r="AL432" s="83"/>
      <c r="AM432" s="83"/>
      <c r="AN432" s="83"/>
      <c r="AO432" s="83"/>
      <c r="AP432" s="83"/>
      <c r="AQ432" s="83"/>
      <c r="AR432" s="83"/>
      <c r="AS432" s="83"/>
      <c r="AT432" s="83"/>
      <c r="AU432" s="83"/>
      <c r="AV432" s="83"/>
      <c r="AW432" s="83"/>
      <c r="AX432" s="83"/>
      <c r="AY432" s="83"/>
      <c r="AZ432" s="83"/>
      <c r="BA432" s="83"/>
      <c r="BB432" s="83"/>
      <c r="BC432" s="83"/>
      <c r="BD432" s="83"/>
      <c r="BE432" s="83"/>
      <c r="BF432" s="83"/>
      <c r="BG432" s="83"/>
      <c r="BH432" s="83"/>
      <c r="BI432" s="83"/>
      <c r="BJ432" s="83"/>
      <c r="BK432" s="83"/>
      <c r="BL432" s="83"/>
      <c r="BM432" s="83"/>
      <c r="BN432" s="83"/>
      <c r="BO432" s="83"/>
      <c r="BP432" s="83"/>
      <c r="BQ432" s="83"/>
      <c r="BR432" s="83"/>
      <c r="BS432" s="83"/>
      <c r="BT432" s="83"/>
      <c r="BU432" s="83"/>
    </row>
    <row r="433" spans="15:73"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3"/>
      <c r="AH433" s="83"/>
      <c r="AI433" s="83"/>
      <c r="AJ433" s="83"/>
      <c r="AK433" s="83"/>
      <c r="AL433" s="83"/>
      <c r="AM433" s="83"/>
      <c r="AN433" s="83"/>
      <c r="AO433" s="83"/>
      <c r="AP433" s="83"/>
      <c r="AQ433" s="83"/>
      <c r="AR433" s="83"/>
      <c r="AS433" s="83"/>
      <c r="AT433" s="83"/>
      <c r="AU433" s="83"/>
      <c r="AV433" s="83"/>
      <c r="AW433" s="83"/>
      <c r="AX433" s="83"/>
      <c r="AY433" s="83"/>
      <c r="AZ433" s="83"/>
      <c r="BA433" s="83"/>
      <c r="BB433" s="83"/>
      <c r="BC433" s="83"/>
      <c r="BD433" s="83"/>
      <c r="BE433" s="83"/>
      <c r="BF433" s="83"/>
      <c r="BG433" s="83"/>
      <c r="BH433" s="83"/>
      <c r="BI433" s="83"/>
      <c r="BJ433" s="83"/>
      <c r="BK433" s="83"/>
      <c r="BL433" s="83"/>
      <c r="BM433" s="83"/>
      <c r="BN433" s="83"/>
      <c r="BO433" s="83"/>
      <c r="BP433" s="83"/>
      <c r="BQ433" s="83"/>
      <c r="BR433" s="83"/>
      <c r="BS433" s="83"/>
      <c r="BT433" s="83"/>
      <c r="BU433" s="83"/>
    </row>
    <row r="434" spans="15:73"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3"/>
      <c r="AH434" s="83"/>
      <c r="AI434" s="83"/>
      <c r="AJ434" s="83"/>
      <c r="AK434" s="83"/>
      <c r="AL434" s="83"/>
      <c r="AM434" s="83"/>
      <c r="AN434" s="83"/>
      <c r="AO434" s="83"/>
      <c r="AP434" s="83"/>
      <c r="AQ434" s="83"/>
      <c r="AR434" s="83"/>
      <c r="AS434" s="83"/>
      <c r="AT434" s="83"/>
      <c r="AU434" s="83"/>
      <c r="AV434" s="83"/>
      <c r="AW434" s="83"/>
      <c r="AX434" s="83"/>
      <c r="AY434" s="83"/>
      <c r="AZ434" s="83"/>
      <c r="BA434" s="83"/>
      <c r="BB434" s="83"/>
      <c r="BC434" s="83"/>
      <c r="BD434" s="83"/>
      <c r="BE434" s="83"/>
      <c r="BF434" s="83"/>
      <c r="BG434" s="83"/>
      <c r="BH434" s="83"/>
      <c r="BI434" s="83"/>
      <c r="BJ434" s="83"/>
      <c r="BK434" s="83"/>
      <c r="BL434" s="83"/>
      <c r="BM434" s="83"/>
      <c r="BN434" s="83"/>
      <c r="BO434" s="83"/>
      <c r="BP434" s="83"/>
      <c r="BQ434" s="83"/>
      <c r="BR434" s="83"/>
      <c r="BS434" s="83"/>
      <c r="BT434" s="83"/>
      <c r="BU434" s="83"/>
    </row>
    <row r="435" spans="15:73"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3"/>
      <c r="AH435" s="83"/>
      <c r="AI435" s="83"/>
      <c r="AJ435" s="83"/>
      <c r="AK435" s="83"/>
      <c r="AL435" s="83"/>
      <c r="AM435" s="83"/>
      <c r="AN435" s="83"/>
      <c r="AO435" s="83"/>
      <c r="AP435" s="83"/>
      <c r="AQ435" s="83"/>
      <c r="AR435" s="83"/>
      <c r="AS435" s="83"/>
      <c r="AT435" s="83"/>
      <c r="AU435" s="83"/>
      <c r="AV435" s="83"/>
      <c r="AW435" s="83"/>
      <c r="AX435" s="83"/>
      <c r="AY435" s="83"/>
      <c r="AZ435" s="83"/>
      <c r="BA435" s="83"/>
      <c r="BB435" s="83"/>
      <c r="BC435" s="83"/>
      <c r="BD435" s="83"/>
      <c r="BE435" s="83"/>
      <c r="BF435" s="83"/>
      <c r="BG435" s="83"/>
      <c r="BH435" s="83"/>
      <c r="BI435" s="83"/>
      <c r="BJ435" s="83"/>
      <c r="BK435" s="83"/>
      <c r="BL435" s="83"/>
      <c r="BM435" s="83"/>
      <c r="BN435" s="83"/>
      <c r="BO435" s="83"/>
      <c r="BP435" s="83"/>
      <c r="BQ435" s="83"/>
      <c r="BR435" s="83"/>
      <c r="BS435" s="83"/>
      <c r="BT435" s="83"/>
      <c r="BU435" s="83"/>
    </row>
    <row r="436" spans="15:73"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3"/>
      <c r="AH436" s="83"/>
      <c r="AI436" s="83"/>
      <c r="AJ436" s="83"/>
      <c r="AK436" s="83"/>
      <c r="AL436" s="83"/>
      <c r="AM436" s="83"/>
      <c r="AN436" s="83"/>
      <c r="AO436" s="83"/>
      <c r="AP436" s="83"/>
      <c r="AQ436" s="83"/>
      <c r="AR436" s="83"/>
      <c r="AS436" s="83"/>
      <c r="AT436" s="83"/>
      <c r="AU436" s="83"/>
      <c r="AV436" s="83"/>
      <c r="AW436" s="83"/>
      <c r="AX436" s="83"/>
      <c r="AY436" s="83"/>
      <c r="AZ436" s="83"/>
      <c r="BA436" s="83"/>
      <c r="BB436" s="83"/>
      <c r="BC436" s="83"/>
      <c r="BD436" s="83"/>
      <c r="BE436" s="83"/>
      <c r="BF436" s="83"/>
      <c r="BG436" s="83"/>
      <c r="BH436" s="83"/>
      <c r="BI436" s="83"/>
      <c r="BJ436" s="83"/>
      <c r="BK436" s="83"/>
      <c r="BL436" s="83"/>
      <c r="BM436" s="83"/>
      <c r="BN436" s="83"/>
      <c r="BO436" s="83"/>
      <c r="BP436" s="83"/>
      <c r="BQ436" s="83"/>
      <c r="BR436" s="83"/>
      <c r="BS436" s="83"/>
      <c r="BT436" s="83"/>
      <c r="BU436" s="83"/>
    </row>
    <row r="437" spans="15:73"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3"/>
      <c r="AH437" s="83"/>
      <c r="AI437" s="83"/>
      <c r="AJ437" s="83"/>
      <c r="AK437" s="83"/>
      <c r="AL437" s="83"/>
      <c r="AM437" s="83"/>
      <c r="AN437" s="83"/>
      <c r="AO437" s="83"/>
      <c r="AP437" s="83"/>
      <c r="AQ437" s="83"/>
      <c r="AR437" s="83"/>
      <c r="AS437" s="83"/>
      <c r="AT437" s="83"/>
      <c r="AU437" s="83"/>
      <c r="AV437" s="83"/>
      <c r="AW437" s="83"/>
      <c r="AX437" s="83"/>
      <c r="AY437" s="83"/>
      <c r="AZ437" s="83"/>
      <c r="BA437" s="83"/>
      <c r="BB437" s="83"/>
      <c r="BC437" s="83"/>
      <c r="BD437" s="83"/>
      <c r="BE437" s="83"/>
      <c r="BF437" s="83"/>
      <c r="BG437" s="83"/>
      <c r="BH437" s="83"/>
      <c r="BI437" s="83"/>
      <c r="BJ437" s="83"/>
      <c r="BK437" s="83"/>
      <c r="BL437" s="83"/>
      <c r="BM437" s="83"/>
      <c r="BN437" s="83"/>
      <c r="BO437" s="83"/>
      <c r="BP437" s="83"/>
      <c r="BQ437" s="83"/>
      <c r="BR437" s="83"/>
      <c r="BS437" s="83"/>
      <c r="BT437" s="83"/>
      <c r="BU437" s="83"/>
    </row>
    <row r="438" spans="15:73"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3"/>
      <c r="AH438" s="83"/>
      <c r="AI438" s="83"/>
      <c r="AJ438" s="83"/>
      <c r="AK438" s="83"/>
      <c r="AL438" s="83"/>
      <c r="AM438" s="83"/>
      <c r="AN438" s="83"/>
      <c r="AO438" s="83"/>
      <c r="AP438" s="83"/>
      <c r="AQ438" s="83"/>
      <c r="AR438" s="83"/>
      <c r="AS438" s="83"/>
      <c r="AT438" s="83"/>
      <c r="AU438" s="83"/>
      <c r="AV438" s="83"/>
      <c r="AW438" s="83"/>
      <c r="AX438" s="83"/>
      <c r="AY438" s="83"/>
      <c r="AZ438" s="83"/>
      <c r="BA438" s="83"/>
      <c r="BB438" s="83"/>
      <c r="BC438" s="83"/>
      <c r="BD438" s="83"/>
      <c r="BE438" s="83"/>
      <c r="BF438" s="83"/>
      <c r="BG438" s="83"/>
      <c r="BH438" s="83"/>
      <c r="BI438" s="83"/>
      <c r="BJ438" s="83"/>
      <c r="BK438" s="83"/>
      <c r="BL438" s="83"/>
      <c r="BM438" s="83"/>
      <c r="BN438" s="83"/>
      <c r="BO438" s="83"/>
      <c r="BP438" s="83"/>
      <c r="BQ438" s="83"/>
      <c r="BR438" s="83"/>
      <c r="BS438" s="83"/>
      <c r="BT438" s="83"/>
      <c r="BU438" s="83"/>
    </row>
    <row r="439" spans="15:73"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3"/>
      <c r="AH439" s="83"/>
      <c r="AI439" s="83"/>
      <c r="AJ439" s="83"/>
      <c r="AK439" s="83"/>
      <c r="AL439" s="83"/>
      <c r="AM439" s="83"/>
      <c r="AN439" s="83"/>
      <c r="AO439" s="83"/>
      <c r="AP439" s="83"/>
      <c r="AQ439" s="83"/>
      <c r="AR439" s="83"/>
      <c r="AS439" s="83"/>
      <c r="AT439" s="83"/>
      <c r="AU439" s="83"/>
      <c r="AV439" s="83"/>
      <c r="AW439" s="83"/>
      <c r="AX439" s="83"/>
      <c r="AY439" s="83"/>
      <c r="AZ439" s="83"/>
      <c r="BA439" s="83"/>
      <c r="BB439" s="83"/>
      <c r="BC439" s="83"/>
      <c r="BD439" s="83"/>
      <c r="BE439" s="83"/>
      <c r="BF439" s="83"/>
      <c r="BG439" s="83"/>
      <c r="BH439" s="83"/>
      <c r="BI439" s="83"/>
      <c r="BJ439" s="83"/>
      <c r="BK439" s="83"/>
      <c r="BL439" s="83"/>
      <c r="BM439" s="83"/>
      <c r="BN439" s="83"/>
      <c r="BO439" s="83"/>
      <c r="BP439" s="83"/>
      <c r="BQ439" s="83"/>
      <c r="BR439" s="83"/>
      <c r="BS439" s="83"/>
      <c r="BT439" s="83"/>
      <c r="BU439" s="83"/>
    </row>
    <row r="440" spans="15:73"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3"/>
      <c r="AH440" s="83"/>
      <c r="AI440" s="83"/>
      <c r="AJ440" s="83"/>
      <c r="AK440" s="83"/>
      <c r="AL440" s="83"/>
      <c r="AM440" s="83"/>
      <c r="AN440" s="83"/>
      <c r="AO440" s="83"/>
      <c r="AP440" s="83"/>
      <c r="AQ440" s="83"/>
      <c r="AR440" s="83"/>
      <c r="AS440" s="83"/>
      <c r="AT440" s="83"/>
      <c r="AU440" s="83"/>
      <c r="AV440" s="83"/>
      <c r="AW440" s="83"/>
      <c r="AX440" s="83"/>
      <c r="AY440" s="83"/>
      <c r="AZ440" s="83"/>
      <c r="BA440" s="83"/>
      <c r="BB440" s="83"/>
      <c r="BC440" s="83"/>
      <c r="BD440" s="83"/>
      <c r="BE440" s="83"/>
      <c r="BF440" s="83"/>
      <c r="BG440" s="83"/>
      <c r="BH440" s="83"/>
      <c r="BI440" s="83"/>
      <c r="BJ440" s="83"/>
      <c r="BK440" s="83"/>
      <c r="BL440" s="83"/>
      <c r="BM440" s="83"/>
      <c r="BN440" s="83"/>
      <c r="BO440" s="83"/>
      <c r="BP440" s="83"/>
      <c r="BQ440" s="83"/>
      <c r="BR440" s="83"/>
      <c r="BS440" s="83"/>
      <c r="BT440" s="83"/>
      <c r="BU440" s="83"/>
    </row>
    <row r="441" spans="15:73"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3"/>
      <c r="AH441" s="83"/>
      <c r="AI441" s="83"/>
      <c r="AJ441" s="83"/>
      <c r="AK441" s="83"/>
      <c r="AL441" s="83"/>
      <c r="AM441" s="83"/>
      <c r="AN441" s="83"/>
      <c r="AO441" s="83"/>
      <c r="AP441" s="83"/>
      <c r="AQ441" s="83"/>
      <c r="AR441" s="83"/>
      <c r="AS441" s="83"/>
      <c r="AT441" s="83"/>
      <c r="AU441" s="83"/>
      <c r="AV441" s="83"/>
      <c r="AW441" s="83"/>
      <c r="AX441" s="83"/>
      <c r="AY441" s="83"/>
      <c r="AZ441" s="83"/>
      <c r="BA441" s="83"/>
      <c r="BB441" s="83"/>
      <c r="BC441" s="83"/>
      <c r="BD441" s="83"/>
      <c r="BE441" s="83"/>
      <c r="BF441" s="83"/>
      <c r="BG441" s="83"/>
      <c r="BH441" s="83"/>
      <c r="BI441" s="83"/>
      <c r="BJ441" s="83"/>
      <c r="BK441" s="83"/>
      <c r="BL441" s="83"/>
      <c r="BM441" s="83"/>
      <c r="BN441" s="83"/>
      <c r="BO441" s="83"/>
      <c r="BP441" s="83"/>
      <c r="BQ441" s="83"/>
      <c r="BR441" s="83"/>
      <c r="BS441" s="83"/>
      <c r="BT441" s="83"/>
      <c r="BU441" s="83"/>
    </row>
    <row r="442" spans="15:73"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3"/>
      <c r="AH442" s="83"/>
      <c r="AI442" s="83"/>
      <c r="AJ442" s="83"/>
      <c r="AK442" s="83"/>
      <c r="AL442" s="83"/>
      <c r="AM442" s="83"/>
      <c r="AN442" s="83"/>
      <c r="AO442" s="83"/>
      <c r="AP442" s="83"/>
      <c r="AQ442" s="83"/>
      <c r="AR442" s="83"/>
      <c r="AS442" s="83"/>
      <c r="AT442" s="83"/>
      <c r="AU442" s="83"/>
      <c r="AV442" s="83"/>
      <c r="AW442" s="83"/>
      <c r="AX442" s="83"/>
      <c r="AY442" s="83"/>
      <c r="AZ442" s="83"/>
      <c r="BA442" s="83"/>
      <c r="BB442" s="83"/>
      <c r="BC442" s="83"/>
      <c r="BD442" s="83"/>
      <c r="BE442" s="83"/>
      <c r="BF442" s="83"/>
      <c r="BG442" s="83"/>
      <c r="BH442" s="83"/>
      <c r="BI442" s="83"/>
      <c r="BJ442" s="83"/>
      <c r="BK442" s="83"/>
      <c r="BL442" s="83"/>
      <c r="BM442" s="83"/>
      <c r="BN442" s="83"/>
      <c r="BO442" s="83"/>
      <c r="BP442" s="83"/>
      <c r="BQ442" s="83"/>
      <c r="BR442" s="83"/>
      <c r="BS442" s="83"/>
      <c r="BT442" s="83"/>
      <c r="BU442" s="83"/>
    </row>
    <row r="443" spans="15:73"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3"/>
      <c r="AH443" s="83"/>
      <c r="AI443" s="83"/>
      <c r="AJ443" s="83"/>
      <c r="AK443" s="83"/>
      <c r="AL443" s="83"/>
      <c r="AM443" s="83"/>
      <c r="AN443" s="83"/>
      <c r="AO443" s="83"/>
      <c r="AP443" s="83"/>
      <c r="AQ443" s="83"/>
      <c r="AR443" s="83"/>
      <c r="AS443" s="83"/>
      <c r="AT443" s="83"/>
      <c r="AU443" s="83"/>
      <c r="AV443" s="83"/>
      <c r="AW443" s="83"/>
      <c r="AX443" s="83"/>
      <c r="AY443" s="83"/>
      <c r="AZ443" s="83"/>
      <c r="BA443" s="83"/>
      <c r="BB443" s="83"/>
      <c r="BC443" s="83"/>
      <c r="BD443" s="83"/>
      <c r="BE443" s="83"/>
      <c r="BF443" s="83"/>
      <c r="BG443" s="83"/>
      <c r="BH443" s="83"/>
      <c r="BI443" s="83"/>
      <c r="BJ443" s="83"/>
      <c r="BK443" s="83"/>
      <c r="BL443" s="83"/>
      <c r="BM443" s="83"/>
      <c r="BN443" s="83"/>
      <c r="BO443" s="83"/>
      <c r="BP443" s="83"/>
      <c r="BQ443" s="83"/>
      <c r="BR443" s="83"/>
      <c r="BS443" s="83"/>
      <c r="BT443" s="83"/>
      <c r="BU443" s="83"/>
    </row>
    <row r="444" spans="15:73"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3"/>
      <c r="AH444" s="83"/>
      <c r="AI444" s="83"/>
      <c r="AJ444" s="83"/>
      <c r="AK444" s="83"/>
      <c r="AL444" s="83"/>
      <c r="AM444" s="83"/>
      <c r="AN444" s="83"/>
      <c r="AO444" s="83"/>
      <c r="AP444" s="83"/>
      <c r="AQ444" s="83"/>
      <c r="AR444" s="83"/>
      <c r="AS444" s="83"/>
      <c r="AT444" s="83"/>
      <c r="AU444" s="83"/>
      <c r="AV444" s="83"/>
      <c r="AW444" s="83"/>
      <c r="AX444" s="83"/>
      <c r="AY444" s="83"/>
      <c r="AZ444" s="83"/>
      <c r="BA444" s="83"/>
      <c r="BB444" s="83"/>
      <c r="BC444" s="83"/>
      <c r="BD444" s="83"/>
      <c r="BE444" s="83"/>
      <c r="BF444" s="83"/>
      <c r="BG444" s="83"/>
      <c r="BH444" s="83"/>
      <c r="BI444" s="83"/>
      <c r="BJ444" s="83"/>
      <c r="BK444" s="83"/>
      <c r="BL444" s="83"/>
      <c r="BM444" s="83"/>
      <c r="BN444" s="83"/>
      <c r="BO444" s="83"/>
      <c r="BP444" s="83"/>
      <c r="BQ444" s="83"/>
      <c r="BR444" s="83"/>
      <c r="BS444" s="83"/>
      <c r="BT444" s="83"/>
      <c r="BU444" s="83"/>
    </row>
    <row r="445" spans="15:73"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3"/>
      <c r="AH445" s="83"/>
      <c r="AI445" s="83"/>
      <c r="AJ445" s="83"/>
      <c r="AK445" s="83"/>
      <c r="AL445" s="83"/>
      <c r="AM445" s="83"/>
      <c r="AN445" s="83"/>
      <c r="AO445" s="83"/>
      <c r="AP445" s="83"/>
      <c r="AQ445" s="83"/>
      <c r="AR445" s="83"/>
      <c r="AS445" s="83"/>
      <c r="AT445" s="83"/>
      <c r="AU445" s="83"/>
      <c r="AV445" s="83"/>
      <c r="AW445" s="83"/>
      <c r="AX445" s="83"/>
      <c r="AY445" s="83"/>
      <c r="AZ445" s="83"/>
      <c r="BA445" s="83"/>
      <c r="BB445" s="83"/>
      <c r="BC445" s="83"/>
      <c r="BD445" s="83"/>
      <c r="BE445" s="83"/>
      <c r="BF445" s="83"/>
      <c r="BG445" s="83"/>
      <c r="BH445" s="83"/>
      <c r="BI445" s="83"/>
      <c r="BJ445" s="83"/>
      <c r="BK445" s="83"/>
      <c r="BL445" s="83"/>
      <c r="BM445" s="83"/>
      <c r="BN445" s="83"/>
      <c r="BO445" s="83"/>
      <c r="BP445" s="83"/>
      <c r="BQ445" s="83"/>
      <c r="BR445" s="83"/>
      <c r="BS445" s="83"/>
      <c r="BT445" s="83"/>
      <c r="BU445" s="83"/>
    </row>
    <row r="446" spans="15:73"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3"/>
      <c r="AH446" s="83"/>
      <c r="AI446" s="83"/>
      <c r="AJ446" s="83"/>
      <c r="AK446" s="83"/>
      <c r="AL446" s="83"/>
      <c r="AM446" s="83"/>
      <c r="AN446" s="83"/>
      <c r="AO446" s="83"/>
      <c r="AP446" s="83"/>
      <c r="AQ446" s="83"/>
      <c r="AR446" s="83"/>
      <c r="AS446" s="83"/>
      <c r="AT446" s="83"/>
      <c r="AU446" s="83"/>
      <c r="AV446" s="83"/>
      <c r="AW446" s="83"/>
      <c r="AX446" s="83"/>
      <c r="AY446" s="83"/>
      <c r="AZ446" s="83"/>
      <c r="BA446" s="83"/>
      <c r="BB446" s="83"/>
      <c r="BC446" s="83"/>
      <c r="BD446" s="83"/>
      <c r="BE446" s="83"/>
      <c r="BF446" s="83"/>
      <c r="BG446" s="83"/>
      <c r="BH446" s="83"/>
      <c r="BI446" s="83"/>
      <c r="BJ446" s="83"/>
      <c r="BK446" s="83"/>
      <c r="BL446" s="83"/>
      <c r="BM446" s="83"/>
      <c r="BN446" s="83"/>
      <c r="BO446" s="83"/>
      <c r="BP446" s="83"/>
      <c r="BQ446" s="83"/>
      <c r="BR446" s="83"/>
      <c r="BS446" s="83"/>
      <c r="BT446" s="83"/>
      <c r="BU446" s="83"/>
    </row>
    <row r="447" spans="15:73"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3"/>
      <c r="AH447" s="83"/>
      <c r="AI447" s="83"/>
      <c r="AJ447" s="83"/>
      <c r="AK447" s="83"/>
      <c r="AL447" s="83"/>
      <c r="AM447" s="83"/>
      <c r="AN447" s="83"/>
      <c r="AO447" s="83"/>
      <c r="AP447" s="83"/>
      <c r="AQ447" s="83"/>
      <c r="AR447" s="83"/>
      <c r="AS447" s="83"/>
      <c r="AT447" s="83"/>
      <c r="AU447" s="83"/>
      <c r="AV447" s="83"/>
      <c r="AW447" s="83"/>
      <c r="AX447" s="83"/>
      <c r="AY447" s="83"/>
      <c r="AZ447" s="83"/>
      <c r="BA447" s="83"/>
      <c r="BB447" s="83"/>
      <c r="BC447" s="83"/>
      <c r="BD447" s="83"/>
      <c r="BE447" s="83"/>
      <c r="BF447" s="83"/>
      <c r="BG447" s="83"/>
      <c r="BH447" s="83"/>
      <c r="BI447" s="83"/>
      <c r="BJ447" s="83"/>
      <c r="BK447" s="83"/>
      <c r="BL447" s="83"/>
      <c r="BM447" s="83"/>
      <c r="BN447" s="83"/>
      <c r="BO447" s="83"/>
      <c r="BP447" s="83"/>
      <c r="BQ447" s="83"/>
      <c r="BR447" s="83"/>
      <c r="BS447" s="83"/>
      <c r="BT447" s="83"/>
      <c r="BU447" s="83"/>
    </row>
    <row r="448" spans="15:73"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3"/>
      <c r="AH448" s="83"/>
      <c r="AI448" s="83"/>
      <c r="AJ448" s="83"/>
      <c r="AK448" s="83"/>
      <c r="AL448" s="83"/>
      <c r="AM448" s="83"/>
      <c r="AN448" s="83"/>
      <c r="AO448" s="83"/>
      <c r="AP448" s="83"/>
      <c r="AQ448" s="83"/>
      <c r="AR448" s="83"/>
      <c r="AS448" s="83"/>
      <c r="AT448" s="83"/>
      <c r="AU448" s="83"/>
      <c r="AV448" s="83"/>
      <c r="AW448" s="83"/>
      <c r="AX448" s="83"/>
      <c r="AY448" s="83"/>
      <c r="AZ448" s="83"/>
      <c r="BA448" s="83"/>
      <c r="BB448" s="83"/>
      <c r="BC448" s="83"/>
      <c r="BD448" s="83"/>
      <c r="BE448" s="83"/>
      <c r="BF448" s="83"/>
      <c r="BG448" s="83"/>
      <c r="BH448" s="83"/>
      <c r="BI448" s="83"/>
      <c r="BJ448" s="83"/>
      <c r="BK448" s="83"/>
      <c r="BL448" s="83"/>
      <c r="BM448" s="83"/>
      <c r="BN448" s="83"/>
      <c r="BO448" s="83"/>
      <c r="BP448" s="83"/>
      <c r="BQ448" s="83"/>
      <c r="BR448" s="83"/>
      <c r="BS448" s="83"/>
      <c r="BT448" s="83"/>
      <c r="BU448" s="83"/>
    </row>
    <row r="449" spans="15:73"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3"/>
      <c r="AH449" s="83"/>
      <c r="AI449" s="83"/>
      <c r="AJ449" s="83"/>
      <c r="AK449" s="83"/>
      <c r="AL449" s="83"/>
      <c r="AM449" s="83"/>
      <c r="AN449" s="83"/>
      <c r="AO449" s="83"/>
      <c r="AP449" s="83"/>
      <c r="AQ449" s="83"/>
      <c r="AR449" s="83"/>
      <c r="AS449" s="83"/>
      <c r="AT449" s="83"/>
      <c r="AU449" s="83"/>
      <c r="AV449" s="83"/>
      <c r="AW449" s="83"/>
      <c r="AX449" s="83"/>
      <c r="AY449" s="83"/>
      <c r="AZ449" s="83"/>
      <c r="BA449" s="83"/>
      <c r="BB449" s="83"/>
      <c r="BC449" s="83"/>
      <c r="BD449" s="83"/>
      <c r="BE449" s="83"/>
      <c r="BF449" s="83"/>
      <c r="BG449" s="83"/>
      <c r="BH449" s="83"/>
      <c r="BI449" s="83"/>
      <c r="BJ449" s="83"/>
      <c r="BK449" s="83"/>
      <c r="BL449" s="83"/>
      <c r="BM449" s="83"/>
      <c r="BN449" s="83"/>
      <c r="BO449" s="83"/>
      <c r="BP449" s="83"/>
      <c r="BQ449" s="83"/>
      <c r="BR449" s="83"/>
      <c r="BS449" s="83"/>
      <c r="BT449" s="83"/>
      <c r="BU449" s="83"/>
    </row>
    <row r="450" spans="15:73"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3"/>
      <c r="AH450" s="83"/>
      <c r="AI450" s="83"/>
      <c r="AJ450" s="83"/>
      <c r="AK450" s="83"/>
      <c r="AL450" s="83"/>
      <c r="AM450" s="83"/>
      <c r="AN450" s="83"/>
      <c r="AO450" s="83"/>
      <c r="AP450" s="83"/>
      <c r="AQ450" s="83"/>
      <c r="AR450" s="83"/>
      <c r="AS450" s="83"/>
      <c r="AT450" s="83"/>
      <c r="AU450" s="83"/>
      <c r="AV450" s="83"/>
      <c r="AW450" s="83"/>
      <c r="AX450" s="83"/>
      <c r="AY450" s="83"/>
      <c r="AZ450" s="83"/>
      <c r="BA450" s="83"/>
      <c r="BB450" s="83"/>
      <c r="BC450" s="83"/>
      <c r="BD450" s="83"/>
      <c r="BE450" s="83"/>
      <c r="BF450" s="83"/>
      <c r="BG450" s="83"/>
      <c r="BH450" s="83"/>
      <c r="BI450" s="83"/>
      <c r="BJ450" s="83"/>
      <c r="BK450" s="83"/>
      <c r="BL450" s="83"/>
      <c r="BM450" s="83"/>
      <c r="BN450" s="83"/>
      <c r="BO450" s="83"/>
      <c r="BP450" s="83"/>
      <c r="BQ450" s="83"/>
      <c r="BR450" s="83"/>
      <c r="BS450" s="83"/>
      <c r="BT450" s="83"/>
      <c r="BU450" s="83"/>
    </row>
    <row r="451" spans="15:73"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3"/>
      <c r="AH451" s="83"/>
      <c r="AI451" s="83"/>
      <c r="AJ451" s="83"/>
      <c r="AK451" s="83"/>
      <c r="AL451" s="83"/>
      <c r="AM451" s="83"/>
      <c r="AN451" s="83"/>
      <c r="AO451" s="83"/>
      <c r="AP451" s="83"/>
      <c r="AQ451" s="83"/>
      <c r="AR451" s="83"/>
      <c r="AS451" s="83"/>
      <c r="AT451" s="83"/>
      <c r="AU451" s="83"/>
      <c r="AV451" s="83"/>
      <c r="AW451" s="83"/>
      <c r="AX451" s="83"/>
      <c r="AY451" s="83"/>
      <c r="AZ451" s="83"/>
      <c r="BA451" s="83"/>
      <c r="BB451" s="83"/>
      <c r="BC451" s="83"/>
      <c r="BD451" s="83"/>
      <c r="BE451" s="83"/>
      <c r="BF451" s="83"/>
      <c r="BG451" s="83"/>
      <c r="BH451" s="83"/>
      <c r="BI451" s="83"/>
      <c r="BJ451" s="83"/>
      <c r="BK451" s="83"/>
      <c r="BL451" s="83"/>
      <c r="BM451" s="83"/>
      <c r="BN451" s="83"/>
      <c r="BO451" s="83"/>
      <c r="BP451" s="83"/>
      <c r="BQ451" s="83"/>
      <c r="BR451" s="83"/>
      <c r="BS451" s="83"/>
      <c r="BT451" s="83"/>
      <c r="BU451" s="83"/>
    </row>
    <row r="452" spans="15:73"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3"/>
      <c r="AH452" s="83"/>
      <c r="AI452" s="83"/>
      <c r="AJ452" s="83"/>
      <c r="AK452" s="83"/>
      <c r="AL452" s="83"/>
      <c r="AM452" s="83"/>
      <c r="AN452" s="83"/>
      <c r="AO452" s="83"/>
      <c r="AP452" s="83"/>
      <c r="AQ452" s="83"/>
      <c r="AR452" s="83"/>
      <c r="AS452" s="83"/>
      <c r="AT452" s="83"/>
      <c r="AU452" s="83"/>
      <c r="AV452" s="83"/>
      <c r="AW452" s="83"/>
      <c r="AX452" s="83"/>
      <c r="AY452" s="83"/>
      <c r="AZ452" s="83"/>
      <c r="BA452" s="83"/>
      <c r="BB452" s="83"/>
      <c r="BC452" s="83"/>
      <c r="BD452" s="83"/>
      <c r="BE452" s="83"/>
      <c r="BF452" s="83"/>
      <c r="BG452" s="83"/>
      <c r="BH452" s="83"/>
      <c r="BI452" s="83"/>
      <c r="BJ452" s="83"/>
      <c r="BK452" s="83"/>
      <c r="BL452" s="83"/>
      <c r="BM452" s="83"/>
      <c r="BN452" s="83"/>
      <c r="BO452" s="83"/>
      <c r="BP452" s="83"/>
      <c r="BQ452" s="83"/>
      <c r="BR452" s="83"/>
      <c r="BS452" s="83"/>
      <c r="BT452" s="83"/>
      <c r="BU452" s="83"/>
    </row>
    <row r="453" spans="15:73"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3"/>
      <c r="AH453" s="83"/>
      <c r="AI453" s="83"/>
      <c r="AJ453" s="83"/>
      <c r="AK453" s="83"/>
      <c r="AL453" s="83"/>
      <c r="AM453" s="83"/>
      <c r="AN453" s="83"/>
      <c r="AO453" s="83"/>
      <c r="AP453" s="83"/>
      <c r="AQ453" s="83"/>
      <c r="AR453" s="83"/>
      <c r="AS453" s="83"/>
      <c r="AT453" s="83"/>
      <c r="AU453" s="83"/>
      <c r="AV453" s="83"/>
      <c r="AW453" s="83"/>
      <c r="AX453" s="83"/>
      <c r="AY453" s="83"/>
      <c r="AZ453" s="83"/>
      <c r="BA453" s="83"/>
      <c r="BB453" s="83"/>
      <c r="BC453" s="83"/>
      <c r="BD453" s="83"/>
      <c r="BE453" s="83"/>
      <c r="BF453" s="83"/>
      <c r="BG453" s="83"/>
      <c r="BH453" s="83"/>
      <c r="BI453" s="83"/>
      <c r="BJ453" s="83"/>
      <c r="BK453" s="83"/>
      <c r="BL453" s="83"/>
      <c r="BM453" s="83"/>
      <c r="BN453" s="83"/>
      <c r="BO453" s="83"/>
      <c r="BP453" s="83"/>
      <c r="BQ453" s="83"/>
      <c r="BR453" s="83"/>
      <c r="BS453" s="83"/>
      <c r="BT453" s="83"/>
      <c r="BU453" s="83"/>
    </row>
    <row r="454" spans="15:73"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3"/>
      <c r="AH454" s="83"/>
      <c r="AI454" s="83"/>
      <c r="AJ454" s="83"/>
      <c r="AK454" s="83"/>
      <c r="AL454" s="83"/>
      <c r="AM454" s="83"/>
      <c r="AN454" s="83"/>
      <c r="AO454" s="83"/>
      <c r="AP454" s="83"/>
      <c r="AQ454" s="83"/>
      <c r="AR454" s="83"/>
      <c r="AS454" s="83"/>
      <c r="AT454" s="83"/>
      <c r="AU454" s="83"/>
      <c r="AV454" s="83"/>
      <c r="AW454" s="83"/>
      <c r="AX454" s="83"/>
      <c r="AY454" s="83"/>
      <c r="AZ454" s="83"/>
      <c r="BA454" s="83"/>
      <c r="BB454" s="83"/>
      <c r="BC454" s="83"/>
      <c r="BD454" s="83"/>
      <c r="BE454" s="83"/>
      <c r="BF454" s="83"/>
      <c r="BG454" s="83"/>
      <c r="BH454" s="83"/>
      <c r="BI454" s="83"/>
      <c r="BJ454" s="83"/>
      <c r="BK454" s="83"/>
      <c r="BL454" s="83"/>
      <c r="BM454" s="83"/>
      <c r="BN454" s="83"/>
      <c r="BO454" s="83"/>
      <c r="BP454" s="83"/>
      <c r="BQ454" s="83"/>
      <c r="BR454" s="83"/>
      <c r="BS454" s="83"/>
      <c r="BT454" s="83"/>
      <c r="BU454" s="83"/>
    </row>
    <row r="455" spans="15:73"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3"/>
      <c r="AH455" s="83"/>
      <c r="AI455" s="83"/>
      <c r="AJ455" s="83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  <c r="BL455" s="83"/>
      <c r="BM455" s="83"/>
      <c r="BN455" s="83"/>
      <c r="BO455" s="83"/>
      <c r="BP455" s="83"/>
      <c r="BQ455" s="83"/>
      <c r="BR455" s="83"/>
      <c r="BS455" s="83"/>
      <c r="BT455" s="83"/>
      <c r="BU455" s="83"/>
    </row>
    <row r="456" spans="15:73"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3"/>
      <c r="AH456" s="83"/>
      <c r="AI456" s="83"/>
      <c r="AJ456" s="83"/>
      <c r="AK456" s="83"/>
      <c r="AL456" s="83"/>
      <c r="AM456" s="83"/>
      <c r="AN456" s="83"/>
      <c r="AO456" s="83"/>
      <c r="AP456" s="83"/>
      <c r="AQ456" s="83"/>
      <c r="AR456" s="83"/>
      <c r="AS456" s="83"/>
      <c r="AT456" s="83"/>
      <c r="AU456" s="83"/>
      <c r="AV456" s="83"/>
      <c r="AW456" s="83"/>
      <c r="AX456" s="83"/>
      <c r="AY456" s="83"/>
      <c r="AZ456" s="83"/>
      <c r="BA456" s="83"/>
      <c r="BB456" s="83"/>
      <c r="BC456" s="83"/>
      <c r="BD456" s="83"/>
      <c r="BE456" s="83"/>
      <c r="BF456" s="83"/>
      <c r="BG456" s="83"/>
      <c r="BH456" s="83"/>
      <c r="BI456" s="83"/>
      <c r="BJ456" s="83"/>
      <c r="BK456" s="83"/>
      <c r="BL456" s="83"/>
      <c r="BM456" s="83"/>
      <c r="BN456" s="83"/>
      <c r="BO456" s="83"/>
      <c r="BP456" s="83"/>
      <c r="BQ456" s="83"/>
      <c r="BR456" s="83"/>
      <c r="BS456" s="83"/>
      <c r="BT456" s="83"/>
      <c r="BU456" s="83"/>
    </row>
    <row r="457" spans="15:73"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3"/>
      <c r="AH457" s="83"/>
      <c r="AI457" s="83"/>
      <c r="AJ457" s="83"/>
      <c r="AK457" s="83"/>
      <c r="AL457" s="83"/>
      <c r="AM457" s="83"/>
      <c r="AN457" s="83"/>
      <c r="AO457" s="83"/>
      <c r="AP457" s="83"/>
      <c r="AQ457" s="83"/>
      <c r="AR457" s="83"/>
      <c r="AS457" s="83"/>
      <c r="AT457" s="83"/>
      <c r="AU457" s="83"/>
      <c r="AV457" s="83"/>
      <c r="AW457" s="83"/>
      <c r="AX457" s="83"/>
      <c r="AY457" s="83"/>
      <c r="AZ457" s="83"/>
      <c r="BA457" s="83"/>
      <c r="BB457" s="83"/>
      <c r="BC457" s="83"/>
      <c r="BD457" s="83"/>
      <c r="BE457" s="83"/>
      <c r="BF457" s="83"/>
      <c r="BG457" s="83"/>
      <c r="BH457" s="83"/>
      <c r="BI457" s="83"/>
      <c r="BJ457" s="83"/>
      <c r="BK457" s="83"/>
      <c r="BL457" s="83"/>
      <c r="BM457" s="83"/>
      <c r="BN457" s="83"/>
      <c r="BO457" s="83"/>
      <c r="BP457" s="83"/>
      <c r="BQ457" s="83"/>
      <c r="BR457" s="83"/>
      <c r="BS457" s="83"/>
      <c r="BT457" s="83"/>
      <c r="BU457" s="83"/>
    </row>
    <row r="458" spans="15:73"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3"/>
      <c r="AH458" s="83"/>
      <c r="AI458" s="83"/>
      <c r="AJ458" s="83"/>
      <c r="AK458" s="83"/>
      <c r="AL458" s="83"/>
      <c r="AM458" s="83"/>
      <c r="AN458" s="83"/>
      <c r="AO458" s="83"/>
      <c r="AP458" s="83"/>
      <c r="AQ458" s="83"/>
      <c r="AR458" s="83"/>
      <c r="AS458" s="83"/>
      <c r="AT458" s="83"/>
      <c r="AU458" s="83"/>
      <c r="AV458" s="83"/>
      <c r="AW458" s="83"/>
      <c r="AX458" s="83"/>
      <c r="AY458" s="83"/>
      <c r="AZ458" s="83"/>
      <c r="BA458" s="83"/>
      <c r="BB458" s="83"/>
      <c r="BC458" s="83"/>
      <c r="BD458" s="83"/>
      <c r="BE458" s="83"/>
      <c r="BF458" s="83"/>
      <c r="BG458" s="83"/>
      <c r="BH458" s="83"/>
      <c r="BI458" s="83"/>
      <c r="BJ458" s="83"/>
      <c r="BK458" s="83"/>
      <c r="BL458" s="83"/>
      <c r="BM458" s="83"/>
      <c r="BN458" s="83"/>
      <c r="BO458" s="83"/>
      <c r="BP458" s="83"/>
      <c r="BQ458" s="83"/>
      <c r="BR458" s="83"/>
      <c r="BS458" s="83"/>
      <c r="BT458" s="83"/>
      <c r="BU458" s="83"/>
    </row>
    <row r="459" spans="15:73"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3"/>
      <c r="AH459" s="83"/>
      <c r="AI459" s="83"/>
      <c r="AJ459" s="83"/>
      <c r="AK459" s="83"/>
      <c r="AL459" s="83"/>
      <c r="AM459" s="83"/>
      <c r="AN459" s="83"/>
      <c r="AO459" s="83"/>
      <c r="AP459" s="83"/>
      <c r="AQ459" s="83"/>
      <c r="AR459" s="83"/>
      <c r="AS459" s="83"/>
      <c r="AT459" s="83"/>
      <c r="AU459" s="83"/>
      <c r="AV459" s="83"/>
      <c r="AW459" s="83"/>
      <c r="AX459" s="83"/>
      <c r="AY459" s="83"/>
      <c r="AZ459" s="83"/>
      <c r="BA459" s="83"/>
      <c r="BB459" s="83"/>
      <c r="BC459" s="83"/>
      <c r="BD459" s="83"/>
      <c r="BE459" s="83"/>
      <c r="BF459" s="83"/>
      <c r="BG459" s="83"/>
      <c r="BH459" s="83"/>
      <c r="BI459" s="83"/>
      <c r="BJ459" s="83"/>
      <c r="BK459" s="83"/>
      <c r="BL459" s="83"/>
      <c r="BM459" s="83"/>
      <c r="BN459" s="83"/>
      <c r="BO459" s="83"/>
      <c r="BP459" s="83"/>
      <c r="BQ459" s="83"/>
      <c r="BR459" s="83"/>
      <c r="BS459" s="83"/>
      <c r="BT459" s="83"/>
      <c r="BU459" s="83"/>
    </row>
    <row r="460" spans="15:73"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3"/>
      <c r="AH460" s="83"/>
      <c r="AI460" s="83"/>
      <c r="AJ460" s="83"/>
      <c r="AK460" s="83"/>
      <c r="AL460" s="83"/>
      <c r="AM460" s="83"/>
      <c r="AN460" s="83"/>
      <c r="AO460" s="83"/>
      <c r="AP460" s="83"/>
      <c r="AQ460" s="83"/>
      <c r="AR460" s="83"/>
      <c r="AS460" s="83"/>
      <c r="AT460" s="83"/>
      <c r="AU460" s="83"/>
      <c r="AV460" s="83"/>
      <c r="AW460" s="83"/>
      <c r="AX460" s="83"/>
      <c r="AY460" s="83"/>
      <c r="AZ460" s="83"/>
      <c r="BA460" s="83"/>
      <c r="BB460" s="83"/>
      <c r="BC460" s="83"/>
      <c r="BD460" s="83"/>
      <c r="BE460" s="83"/>
      <c r="BF460" s="83"/>
      <c r="BG460" s="83"/>
      <c r="BH460" s="83"/>
      <c r="BI460" s="83"/>
      <c r="BJ460" s="83"/>
      <c r="BK460" s="83"/>
      <c r="BL460" s="83"/>
      <c r="BM460" s="83"/>
      <c r="BN460" s="83"/>
      <c r="BO460" s="83"/>
      <c r="BP460" s="83"/>
      <c r="BQ460" s="83"/>
      <c r="BR460" s="83"/>
      <c r="BS460" s="83"/>
      <c r="BT460" s="83"/>
      <c r="BU460" s="83"/>
    </row>
    <row r="461" spans="15:73"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3"/>
      <c r="AH461" s="83"/>
      <c r="AI461" s="83"/>
      <c r="AJ461" s="83"/>
      <c r="AK461" s="83"/>
      <c r="AL461" s="83"/>
      <c r="AM461" s="83"/>
      <c r="AN461" s="83"/>
      <c r="AO461" s="83"/>
      <c r="AP461" s="83"/>
      <c r="AQ461" s="83"/>
      <c r="AR461" s="83"/>
      <c r="AS461" s="83"/>
      <c r="AT461" s="83"/>
      <c r="AU461" s="83"/>
      <c r="AV461" s="83"/>
      <c r="AW461" s="83"/>
      <c r="AX461" s="83"/>
      <c r="AY461" s="83"/>
      <c r="AZ461" s="83"/>
      <c r="BA461" s="83"/>
      <c r="BB461" s="83"/>
      <c r="BC461" s="83"/>
      <c r="BD461" s="83"/>
      <c r="BE461" s="83"/>
      <c r="BF461" s="83"/>
      <c r="BG461" s="83"/>
      <c r="BH461" s="83"/>
      <c r="BI461" s="83"/>
      <c r="BJ461" s="83"/>
      <c r="BK461" s="83"/>
      <c r="BL461" s="83"/>
      <c r="BM461" s="83"/>
      <c r="BN461" s="83"/>
      <c r="BO461" s="83"/>
      <c r="BP461" s="83"/>
      <c r="BQ461" s="83"/>
      <c r="BR461" s="83"/>
      <c r="BS461" s="83"/>
      <c r="BT461" s="83"/>
      <c r="BU461" s="83"/>
    </row>
    <row r="462" spans="15:73"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3"/>
      <c r="AH462" s="83"/>
      <c r="AI462" s="83"/>
      <c r="AJ462" s="83"/>
      <c r="AK462" s="83"/>
      <c r="AL462" s="83"/>
      <c r="AM462" s="83"/>
      <c r="AN462" s="83"/>
      <c r="AO462" s="83"/>
      <c r="AP462" s="83"/>
      <c r="AQ462" s="83"/>
      <c r="AR462" s="83"/>
      <c r="AS462" s="83"/>
      <c r="AT462" s="83"/>
      <c r="AU462" s="83"/>
      <c r="AV462" s="83"/>
      <c r="AW462" s="83"/>
      <c r="AX462" s="83"/>
      <c r="AY462" s="83"/>
      <c r="AZ462" s="83"/>
      <c r="BA462" s="83"/>
      <c r="BB462" s="83"/>
      <c r="BC462" s="83"/>
      <c r="BD462" s="83"/>
      <c r="BE462" s="83"/>
      <c r="BF462" s="83"/>
      <c r="BG462" s="83"/>
      <c r="BH462" s="83"/>
      <c r="BI462" s="83"/>
      <c r="BJ462" s="83"/>
      <c r="BK462" s="83"/>
      <c r="BL462" s="83"/>
      <c r="BM462" s="83"/>
      <c r="BN462" s="83"/>
      <c r="BO462" s="83"/>
      <c r="BP462" s="83"/>
      <c r="BQ462" s="83"/>
      <c r="BR462" s="83"/>
      <c r="BS462" s="83"/>
      <c r="BT462" s="83"/>
      <c r="BU462" s="83"/>
    </row>
    <row r="463" spans="15:73"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3"/>
      <c r="AH463" s="83"/>
      <c r="AI463" s="83"/>
      <c r="AJ463" s="83"/>
      <c r="AK463" s="83"/>
      <c r="AL463" s="83"/>
      <c r="AM463" s="83"/>
      <c r="AN463" s="83"/>
      <c r="AO463" s="83"/>
      <c r="AP463" s="83"/>
      <c r="AQ463" s="83"/>
      <c r="AR463" s="83"/>
      <c r="AS463" s="83"/>
      <c r="AT463" s="83"/>
      <c r="AU463" s="83"/>
      <c r="AV463" s="83"/>
      <c r="AW463" s="83"/>
      <c r="AX463" s="83"/>
      <c r="AY463" s="83"/>
      <c r="AZ463" s="83"/>
      <c r="BA463" s="83"/>
      <c r="BB463" s="83"/>
      <c r="BC463" s="83"/>
      <c r="BD463" s="83"/>
      <c r="BE463" s="83"/>
      <c r="BF463" s="83"/>
      <c r="BG463" s="83"/>
      <c r="BH463" s="83"/>
      <c r="BI463" s="83"/>
      <c r="BJ463" s="83"/>
      <c r="BK463" s="83"/>
      <c r="BL463" s="83"/>
      <c r="BM463" s="83"/>
      <c r="BN463" s="83"/>
      <c r="BO463" s="83"/>
      <c r="BP463" s="83"/>
      <c r="BQ463" s="83"/>
      <c r="BR463" s="83"/>
      <c r="BS463" s="83"/>
      <c r="BT463" s="83"/>
      <c r="BU463" s="83"/>
    </row>
    <row r="464" spans="15:73"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3"/>
      <c r="AH464" s="83"/>
      <c r="AI464" s="83"/>
      <c r="AJ464" s="83"/>
      <c r="AK464" s="83"/>
      <c r="AL464" s="83"/>
      <c r="AM464" s="83"/>
      <c r="AN464" s="83"/>
      <c r="AO464" s="83"/>
      <c r="AP464" s="83"/>
      <c r="AQ464" s="83"/>
      <c r="AR464" s="83"/>
      <c r="AS464" s="83"/>
      <c r="AT464" s="83"/>
      <c r="AU464" s="83"/>
      <c r="AV464" s="83"/>
      <c r="AW464" s="83"/>
      <c r="AX464" s="83"/>
      <c r="AY464" s="83"/>
      <c r="AZ464" s="83"/>
      <c r="BA464" s="83"/>
      <c r="BB464" s="83"/>
      <c r="BC464" s="83"/>
      <c r="BD464" s="83"/>
      <c r="BE464" s="83"/>
      <c r="BF464" s="83"/>
      <c r="BG464" s="83"/>
      <c r="BH464" s="83"/>
      <c r="BI464" s="83"/>
      <c r="BJ464" s="83"/>
      <c r="BK464" s="83"/>
      <c r="BL464" s="83"/>
      <c r="BM464" s="83"/>
      <c r="BN464" s="83"/>
      <c r="BO464" s="83"/>
      <c r="BP464" s="83"/>
      <c r="BQ464" s="83"/>
      <c r="BR464" s="83"/>
      <c r="BS464" s="83"/>
      <c r="BT464" s="83"/>
      <c r="BU464" s="83"/>
    </row>
    <row r="465" spans="15:73"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3"/>
      <c r="AH465" s="83"/>
      <c r="AI465" s="83"/>
      <c r="AJ465" s="83"/>
      <c r="AK465" s="83"/>
      <c r="AL465" s="83"/>
      <c r="AM465" s="83"/>
      <c r="AN465" s="83"/>
      <c r="AO465" s="83"/>
      <c r="AP465" s="83"/>
      <c r="AQ465" s="83"/>
      <c r="AR465" s="83"/>
      <c r="AS465" s="83"/>
      <c r="AT465" s="83"/>
      <c r="AU465" s="83"/>
      <c r="AV465" s="83"/>
      <c r="AW465" s="83"/>
      <c r="AX465" s="83"/>
      <c r="AY465" s="83"/>
      <c r="AZ465" s="83"/>
      <c r="BA465" s="83"/>
      <c r="BB465" s="83"/>
      <c r="BC465" s="83"/>
      <c r="BD465" s="83"/>
      <c r="BE465" s="83"/>
      <c r="BF465" s="83"/>
      <c r="BG465" s="83"/>
      <c r="BH465" s="83"/>
      <c r="BI465" s="83"/>
      <c r="BJ465" s="83"/>
      <c r="BK465" s="83"/>
      <c r="BL465" s="83"/>
      <c r="BM465" s="83"/>
      <c r="BN465" s="83"/>
      <c r="BO465" s="83"/>
      <c r="BP465" s="83"/>
      <c r="BQ465" s="83"/>
      <c r="BR465" s="83"/>
      <c r="BS465" s="83"/>
      <c r="BT465" s="83"/>
      <c r="BU465" s="83"/>
    </row>
    <row r="466" spans="15:73"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3"/>
      <c r="AH466" s="83"/>
      <c r="AI466" s="83"/>
      <c r="AJ466" s="83"/>
      <c r="AK466" s="83"/>
      <c r="AL466" s="83"/>
      <c r="AM466" s="83"/>
      <c r="AN466" s="83"/>
      <c r="AO466" s="83"/>
      <c r="AP466" s="83"/>
      <c r="AQ466" s="83"/>
      <c r="AR466" s="83"/>
      <c r="AS466" s="83"/>
      <c r="AT466" s="83"/>
      <c r="AU466" s="83"/>
      <c r="AV466" s="83"/>
      <c r="AW466" s="83"/>
      <c r="AX466" s="83"/>
      <c r="AY466" s="83"/>
      <c r="AZ466" s="83"/>
      <c r="BA466" s="83"/>
      <c r="BB466" s="83"/>
      <c r="BC466" s="83"/>
      <c r="BD466" s="83"/>
      <c r="BE466" s="83"/>
      <c r="BF466" s="83"/>
      <c r="BG466" s="83"/>
      <c r="BH466" s="83"/>
      <c r="BI466" s="83"/>
      <c r="BJ466" s="83"/>
      <c r="BK466" s="83"/>
      <c r="BL466" s="83"/>
      <c r="BM466" s="83"/>
      <c r="BN466" s="83"/>
      <c r="BO466" s="83"/>
      <c r="BP466" s="83"/>
      <c r="BQ466" s="83"/>
      <c r="BR466" s="83"/>
      <c r="BS466" s="83"/>
      <c r="BT466" s="83"/>
      <c r="BU466" s="83"/>
    </row>
    <row r="467" spans="15:73"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3"/>
      <c r="AH467" s="83"/>
      <c r="AI467" s="83"/>
      <c r="AJ467" s="83"/>
      <c r="AK467" s="83"/>
      <c r="AL467" s="83"/>
      <c r="AM467" s="83"/>
      <c r="AN467" s="83"/>
      <c r="AO467" s="83"/>
      <c r="AP467" s="83"/>
      <c r="AQ467" s="83"/>
      <c r="AR467" s="83"/>
      <c r="AS467" s="83"/>
      <c r="AT467" s="83"/>
      <c r="AU467" s="83"/>
      <c r="AV467" s="83"/>
      <c r="AW467" s="83"/>
      <c r="AX467" s="83"/>
      <c r="AY467" s="83"/>
      <c r="AZ467" s="83"/>
      <c r="BA467" s="83"/>
      <c r="BB467" s="83"/>
      <c r="BC467" s="83"/>
      <c r="BD467" s="83"/>
      <c r="BE467" s="83"/>
      <c r="BF467" s="83"/>
      <c r="BG467" s="83"/>
      <c r="BH467" s="83"/>
      <c r="BI467" s="83"/>
      <c r="BJ467" s="83"/>
      <c r="BK467" s="83"/>
      <c r="BL467" s="83"/>
      <c r="BM467" s="83"/>
      <c r="BN467" s="83"/>
      <c r="BO467" s="83"/>
      <c r="BP467" s="83"/>
      <c r="BQ467" s="83"/>
      <c r="BR467" s="83"/>
      <c r="BS467" s="83"/>
      <c r="BT467" s="83"/>
      <c r="BU467" s="83"/>
    </row>
    <row r="468" spans="15:73"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3"/>
      <c r="AH468" s="83"/>
      <c r="AI468" s="83"/>
      <c r="AJ468" s="83"/>
      <c r="AK468" s="83"/>
      <c r="AL468" s="83"/>
      <c r="AM468" s="83"/>
      <c r="AN468" s="83"/>
      <c r="AO468" s="83"/>
      <c r="AP468" s="83"/>
      <c r="AQ468" s="83"/>
      <c r="AR468" s="83"/>
      <c r="AS468" s="83"/>
      <c r="AT468" s="83"/>
      <c r="AU468" s="83"/>
      <c r="AV468" s="83"/>
      <c r="AW468" s="83"/>
      <c r="AX468" s="83"/>
      <c r="AY468" s="83"/>
      <c r="AZ468" s="83"/>
      <c r="BA468" s="83"/>
      <c r="BB468" s="83"/>
      <c r="BC468" s="83"/>
      <c r="BD468" s="83"/>
      <c r="BE468" s="83"/>
      <c r="BF468" s="83"/>
      <c r="BG468" s="83"/>
      <c r="BH468" s="83"/>
      <c r="BI468" s="83"/>
      <c r="BJ468" s="83"/>
      <c r="BK468" s="83"/>
      <c r="BL468" s="83"/>
      <c r="BM468" s="83"/>
      <c r="BN468" s="83"/>
      <c r="BO468" s="83"/>
      <c r="BP468" s="83"/>
      <c r="BQ468" s="83"/>
      <c r="BR468" s="83"/>
      <c r="BS468" s="83"/>
      <c r="BT468" s="83"/>
      <c r="BU468" s="83"/>
    </row>
    <row r="469" spans="15:73"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3"/>
      <c r="AH469" s="83"/>
      <c r="AI469" s="83"/>
      <c r="AJ469" s="83"/>
      <c r="AK469" s="83"/>
      <c r="AL469" s="83"/>
      <c r="AM469" s="83"/>
      <c r="AN469" s="83"/>
      <c r="AO469" s="83"/>
      <c r="AP469" s="83"/>
      <c r="AQ469" s="83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  <c r="BM469" s="83"/>
      <c r="BN469" s="83"/>
      <c r="BO469" s="83"/>
      <c r="BP469" s="83"/>
      <c r="BQ469" s="83"/>
      <c r="BR469" s="83"/>
      <c r="BS469" s="83"/>
      <c r="BT469" s="83"/>
      <c r="BU469" s="83"/>
    </row>
    <row r="470" spans="15:73"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3"/>
      <c r="AH470" s="83"/>
      <c r="AI470" s="83"/>
      <c r="AJ470" s="83"/>
      <c r="AK470" s="83"/>
      <c r="AL470" s="83"/>
      <c r="AM470" s="83"/>
      <c r="AN470" s="83"/>
      <c r="AO470" s="83"/>
      <c r="AP470" s="83"/>
      <c r="AQ470" s="83"/>
      <c r="AR470" s="83"/>
      <c r="AS470" s="83"/>
      <c r="AT470" s="83"/>
      <c r="AU470" s="83"/>
      <c r="AV470" s="83"/>
      <c r="AW470" s="83"/>
      <c r="AX470" s="83"/>
      <c r="AY470" s="83"/>
      <c r="AZ470" s="83"/>
      <c r="BA470" s="83"/>
      <c r="BB470" s="83"/>
      <c r="BC470" s="83"/>
      <c r="BD470" s="83"/>
      <c r="BE470" s="83"/>
      <c r="BF470" s="83"/>
      <c r="BG470" s="83"/>
      <c r="BH470" s="83"/>
      <c r="BI470" s="83"/>
      <c r="BJ470" s="83"/>
      <c r="BK470" s="83"/>
      <c r="BL470" s="83"/>
      <c r="BM470" s="83"/>
      <c r="BN470" s="83"/>
      <c r="BO470" s="83"/>
      <c r="BP470" s="83"/>
      <c r="BQ470" s="83"/>
      <c r="BR470" s="83"/>
      <c r="BS470" s="83"/>
      <c r="BT470" s="83"/>
      <c r="BU470" s="83"/>
    </row>
    <row r="471" spans="15:73"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3"/>
      <c r="AH471" s="83"/>
      <c r="AI471" s="83"/>
      <c r="AJ471" s="83"/>
      <c r="AK471" s="83"/>
      <c r="AL471" s="83"/>
      <c r="AM471" s="83"/>
      <c r="AN471" s="83"/>
      <c r="AO471" s="83"/>
      <c r="AP471" s="83"/>
      <c r="AQ471" s="83"/>
      <c r="AR471" s="83"/>
      <c r="AS471" s="83"/>
      <c r="AT471" s="83"/>
      <c r="AU471" s="83"/>
      <c r="AV471" s="83"/>
      <c r="AW471" s="83"/>
      <c r="AX471" s="83"/>
      <c r="AY471" s="83"/>
      <c r="AZ471" s="83"/>
      <c r="BA471" s="83"/>
      <c r="BB471" s="83"/>
      <c r="BC471" s="83"/>
      <c r="BD471" s="83"/>
      <c r="BE471" s="83"/>
      <c r="BF471" s="83"/>
      <c r="BG471" s="83"/>
      <c r="BH471" s="83"/>
      <c r="BI471" s="83"/>
      <c r="BJ471" s="83"/>
      <c r="BK471" s="83"/>
      <c r="BL471" s="83"/>
      <c r="BM471" s="83"/>
      <c r="BN471" s="83"/>
      <c r="BO471" s="83"/>
      <c r="BP471" s="83"/>
      <c r="BQ471" s="83"/>
      <c r="BR471" s="83"/>
      <c r="BS471" s="83"/>
      <c r="BT471" s="83"/>
      <c r="BU471" s="83"/>
    </row>
    <row r="472" spans="15:73"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3"/>
      <c r="AH472" s="83"/>
      <c r="AI472" s="83"/>
      <c r="AJ472" s="83"/>
      <c r="AK472" s="83"/>
      <c r="AL472" s="83"/>
      <c r="AM472" s="83"/>
      <c r="AN472" s="83"/>
      <c r="AO472" s="83"/>
      <c r="AP472" s="83"/>
      <c r="AQ472" s="83"/>
      <c r="AR472" s="83"/>
      <c r="AS472" s="83"/>
      <c r="AT472" s="83"/>
      <c r="AU472" s="83"/>
      <c r="AV472" s="83"/>
      <c r="AW472" s="83"/>
      <c r="AX472" s="83"/>
      <c r="AY472" s="83"/>
      <c r="AZ472" s="83"/>
      <c r="BA472" s="83"/>
      <c r="BB472" s="83"/>
      <c r="BC472" s="83"/>
      <c r="BD472" s="83"/>
      <c r="BE472" s="83"/>
      <c r="BF472" s="83"/>
      <c r="BG472" s="83"/>
      <c r="BH472" s="83"/>
      <c r="BI472" s="83"/>
      <c r="BJ472" s="83"/>
      <c r="BK472" s="83"/>
      <c r="BL472" s="83"/>
      <c r="BM472" s="83"/>
      <c r="BN472" s="83"/>
      <c r="BO472" s="83"/>
      <c r="BP472" s="83"/>
      <c r="BQ472" s="83"/>
      <c r="BR472" s="83"/>
      <c r="BS472" s="83"/>
      <c r="BT472" s="83"/>
      <c r="BU472" s="83"/>
    </row>
    <row r="473" spans="15:73"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3"/>
      <c r="AH473" s="83"/>
      <c r="AI473" s="83"/>
      <c r="AJ473" s="83"/>
      <c r="AK473" s="83"/>
      <c r="AL473" s="83"/>
      <c r="AM473" s="83"/>
      <c r="AN473" s="83"/>
      <c r="AO473" s="83"/>
      <c r="AP473" s="83"/>
      <c r="AQ473" s="83"/>
      <c r="AR473" s="83"/>
      <c r="AS473" s="83"/>
      <c r="AT473" s="83"/>
      <c r="AU473" s="83"/>
      <c r="AV473" s="83"/>
      <c r="AW473" s="83"/>
      <c r="AX473" s="83"/>
      <c r="AY473" s="83"/>
      <c r="AZ473" s="83"/>
      <c r="BA473" s="83"/>
      <c r="BB473" s="83"/>
      <c r="BC473" s="83"/>
      <c r="BD473" s="83"/>
      <c r="BE473" s="83"/>
      <c r="BF473" s="83"/>
      <c r="BG473" s="83"/>
      <c r="BH473" s="83"/>
      <c r="BI473" s="83"/>
      <c r="BJ473" s="83"/>
      <c r="BK473" s="83"/>
      <c r="BL473" s="83"/>
      <c r="BM473" s="83"/>
      <c r="BN473" s="83"/>
      <c r="BO473" s="83"/>
      <c r="BP473" s="83"/>
      <c r="BQ473" s="83"/>
      <c r="BR473" s="83"/>
      <c r="BS473" s="83"/>
      <c r="BT473" s="83"/>
      <c r="BU473" s="83"/>
    </row>
    <row r="474" spans="15:73"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3"/>
      <c r="AH474" s="83"/>
      <c r="AI474" s="83"/>
      <c r="AJ474" s="83"/>
      <c r="AK474" s="83"/>
      <c r="AL474" s="83"/>
      <c r="AM474" s="83"/>
      <c r="AN474" s="83"/>
      <c r="AO474" s="83"/>
      <c r="AP474" s="83"/>
      <c r="AQ474" s="83"/>
      <c r="AR474" s="83"/>
      <c r="AS474" s="83"/>
      <c r="AT474" s="83"/>
      <c r="AU474" s="83"/>
      <c r="AV474" s="83"/>
      <c r="AW474" s="83"/>
      <c r="AX474" s="83"/>
      <c r="AY474" s="83"/>
      <c r="AZ474" s="83"/>
      <c r="BA474" s="83"/>
      <c r="BB474" s="83"/>
      <c r="BC474" s="83"/>
      <c r="BD474" s="83"/>
      <c r="BE474" s="83"/>
      <c r="BF474" s="83"/>
      <c r="BG474" s="83"/>
      <c r="BH474" s="83"/>
      <c r="BI474" s="83"/>
      <c r="BJ474" s="83"/>
      <c r="BK474" s="83"/>
      <c r="BL474" s="83"/>
      <c r="BM474" s="83"/>
      <c r="BN474" s="83"/>
      <c r="BO474" s="83"/>
      <c r="BP474" s="83"/>
      <c r="BQ474" s="83"/>
      <c r="BR474" s="83"/>
      <c r="BS474" s="83"/>
      <c r="BT474" s="83"/>
      <c r="BU474" s="83"/>
    </row>
    <row r="475" spans="15:73"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3"/>
      <c r="AH475" s="83"/>
      <c r="AI475" s="83"/>
      <c r="AJ475" s="83"/>
      <c r="AK475" s="83"/>
      <c r="AL475" s="83"/>
      <c r="AM475" s="83"/>
      <c r="AN475" s="83"/>
      <c r="AO475" s="83"/>
      <c r="AP475" s="83"/>
      <c r="AQ475" s="83"/>
      <c r="AR475" s="83"/>
      <c r="AS475" s="83"/>
      <c r="AT475" s="83"/>
      <c r="AU475" s="83"/>
      <c r="AV475" s="83"/>
      <c r="AW475" s="83"/>
      <c r="AX475" s="83"/>
      <c r="AY475" s="83"/>
      <c r="AZ475" s="83"/>
      <c r="BA475" s="83"/>
      <c r="BB475" s="83"/>
      <c r="BC475" s="83"/>
      <c r="BD475" s="83"/>
      <c r="BE475" s="83"/>
      <c r="BF475" s="83"/>
      <c r="BG475" s="83"/>
      <c r="BH475" s="83"/>
      <c r="BI475" s="83"/>
      <c r="BJ475" s="83"/>
      <c r="BK475" s="83"/>
      <c r="BL475" s="83"/>
      <c r="BM475" s="83"/>
      <c r="BN475" s="83"/>
      <c r="BO475" s="83"/>
      <c r="BP475" s="83"/>
      <c r="BQ475" s="83"/>
      <c r="BR475" s="83"/>
      <c r="BS475" s="83"/>
      <c r="BT475" s="83"/>
      <c r="BU475" s="83"/>
    </row>
    <row r="476" spans="15:73"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3"/>
      <c r="AH476" s="83"/>
      <c r="AI476" s="83"/>
      <c r="AJ476" s="83"/>
      <c r="AK476" s="83"/>
      <c r="AL476" s="83"/>
      <c r="AM476" s="83"/>
      <c r="AN476" s="83"/>
      <c r="AO476" s="83"/>
      <c r="AP476" s="83"/>
      <c r="AQ476" s="83"/>
      <c r="AR476" s="83"/>
      <c r="AS476" s="83"/>
      <c r="AT476" s="83"/>
      <c r="AU476" s="83"/>
      <c r="AV476" s="83"/>
      <c r="AW476" s="83"/>
      <c r="AX476" s="83"/>
      <c r="AY476" s="83"/>
      <c r="AZ476" s="83"/>
      <c r="BA476" s="83"/>
      <c r="BB476" s="83"/>
      <c r="BC476" s="83"/>
      <c r="BD476" s="83"/>
      <c r="BE476" s="83"/>
      <c r="BF476" s="83"/>
      <c r="BG476" s="83"/>
      <c r="BH476" s="83"/>
      <c r="BI476" s="83"/>
      <c r="BJ476" s="83"/>
      <c r="BK476" s="83"/>
      <c r="BL476" s="83"/>
      <c r="BM476" s="83"/>
      <c r="BN476" s="83"/>
      <c r="BO476" s="83"/>
      <c r="BP476" s="83"/>
      <c r="BQ476" s="83"/>
      <c r="BR476" s="83"/>
      <c r="BS476" s="83"/>
      <c r="BT476" s="83"/>
      <c r="BU476" s="83"/>
    </row>
    <row r="477" spans="15:73"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3"/>
      <c r="AH477" s="83"/>
      <c r="AI477" s="83"/>
      <c r="AJ477" s="83"/>
      <c r="AK477" s="83"/>
      <c r="AL477" s="83"/>
      <c r="AM477" s="83"/>
      <c r="AN477" s="83"/>
      <c r="AO477" s="83"/>
      <c r="AP477" s="83"/>
      <c r="AQ477" s="83"/>
      <c r="AR477" s="83"/>
      <c r="AS477" s="83"/>
      <c r="AT477" s="83"/>
      <c r="AU477" s="83"/>
      <c r="AV477" s="83"/>
      <c r="AW477" s="83"/>
      <c r="AX477" s="83"/>
      <c r="AY477" s="83"/>
      <c r="AZ477" s="83"/>
      <c r="BA477" s="83"/>
      <c r="BB477" s="83"/>
      <c r="BC477" s="83"/>
      <c r="BD477" s="83"/>
      <c r="BE477" s="83"/>
      <c r="BF477" s="83"/>
      <c r="BG477" s="83"/>
      <c r="BH477" s="83"/>
      <c r="BI477" s="83"/>
      <c r="BJ477" s="83"/>
      <c r="BK477" s="83"/>
      <c r="BL477" s="83"/>
      <c r="BM477" s="83"/>
      <c r="BN477" s="83"/>
      <c r="BO477" s="83"/>
      <c r="BP477" s="83"/>
      <c r="BQ477" s="83"/>
      <c r="BR477" s="83"/>
      <c r="BS477" s="83"/>
      <c r="BT477" s="83"/>
      <c r="BU477" s="83"/>
    </row>
    <row r="478" spans="15:73"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3"/>
      <c r="AH478" s="83"/>
      <c r="AI478" s="83"/>
      <c r="AJ478" s="83"/>
      <c r="AK478" s="83"/>
      <c r="AL478" s="83"/>
      <c r="AM478" s="83"/>
      <c r="AN478" s="83"/>
      <c r="AO478" s="83"/>
      <c r="AP478" s="83"/>
      <c r="AQ478" s="83"/>
      <c r="AR478" s="83"/>
      <c r="AS478" s="83"/>
      <c r="AT478" s="83"/>
      <c r="AU478" s="83"/>
      <c r="AV478" s="83"/>
      <c r="AW478" s="83"/>
      <c r="AX478" s="83"/>
      <c r="AY478" s="83"/>
      <c r="AZ478" s="83"/>
      <c r="BA478" s="83"/>
      <c r="BB478" s="83"/>
      <c r="BC478" s="83"/>
      <c r="BD478" s="83"/>
      <c r="BE478" s="83"/>
      <c r="BF478" s="83"/>
      <c r="BG478" s="83"/>
      <c r="BH478" s="83"/>
      <c r="BI478" s="83"/>
      <c r="BJ478" s="83"/>
      <c r="BK478" s="83"/>
      <c r="BL478" s="83"/>
      <c r="BM478" s="83"/>
      <c r="BN478" s="83"/>
      <c r="BO478" s="83"/>
      <c r="BP478" s="83"/>
      <c r="BQ478" s="83"/>
      <c r="BR478" s="83"/>
      <c r="BS478" s="83"/>
      <c r="BT478" s="83"/>
      <c r="BU478" s="83"/>
    </row>
    <row r="479" spans="15:73"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3"/>
      <c r="AH479" s="83"/>
      <c r="AI479" s="83"/>
      <c r="AJ479" s="83"/>
      <c r="AK479" s="83"/>
      <c r="AL479" s="83"/>
      <c r="AM479" s="83"/>
      <c r="AN479" s="83"/>
      <c r="AO479" s="83"/>
      <c r="AP479" s="83"/>
      <c r="AQ479" s="83"/>
      <c r="AR479" s="83"/>
      <c r="AS479" s="83"/>
      <c r="AT479" s="83"/>
      <c r="AU479" s="83"/>
      <c r="AV479" s="83"/>
      <c r="AW479" s="83"/>
      <c r="AX479" s="83"/>
      <c r="AY479" s="83"/>
      <c r="AZ479" s="83"/>
      <c r="BA479" s="83"/>
      <c r="BB479" s="83"/>
      <c r="BC479" s="83"/>
      <c r="BD479" s="83"/>
      <c r="BE479" s="83"/>
      <c r="BF479" s="83"/>
      <c r="BG479" s="83"/>
      <c r="BH479" s="83"/>
      <c r="BI479" s="83"/>
      <c r="BJ479" s="83"/>
      <c r="BK479" s="83"/>
      <c r="BL479" s="83"/>
      <c r="BM479" s="83"/>
      <c r="BN479" s="83"/>
      <c r="BO479" s="83"/>
      <c r="BP479" s="83"/>
      <c r="BQ479" s="83"/>
      <c r="BR479" s="83"/>
      <c r="BS479" s="83"/>
      <c r="BT479" s="83"/>
      <c r="BU479" s="83"/>
    </row>
    <row r="480" spans="15:73"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3"/>
      <c r="AH480" s="83"/>
      <c r="AI480" s="83"/>
      <c r="AJ480" s="83"/>
      <c r="AK480" s="83"/>
      <c r="AL480" s="83"/>
      <c r="AM480" s="83"/>
      <c r="AN480" s="83"/>
      <c r="AO480" s="83"/>
      <c r="AP480" s="83"/>
      <c r="AQ480" s="83"/>
      <c r="AR480" s="83"/>
      <c r="AS480" s="83"/>
      <c r="AT480" s="83"/>
      <c r="AU480" s="83"/>
      <c r="AV480" s="83"/>
      <c r="AW480" s="83"/>
      <c r="AX480" s="83"/>
      <c r="AY480" s="83"/>
      <c r="AZ480" s="83"/>
      <c r="BA480" s="83"/>
      <c r="BB480" s="83"/>
      <c r="BC480" s="83"/>
      <c r="BD480" s="83"/>
      <c r="BE480" s="83"/>
      <c r="BF480" s="83"/>
      <c r="BG480" s="83"/>
      <c r="BH480" s="83"/>
      <c r="BI480" s="83"/>
      <c r="BJ480" s="83"/>
      <c r="BK480" s="83"/>
      <c r="BL480" s="83"/>
      <c r="BM480" s="83"/>
      <c r="BN480" s="83"/>
      <c r="BO480" s="83"/>
      <c r="BP480" s="83"/>
      <c r="BQ480" s="83"/>
      <c r="BR480" s="83"/>
      <c r="BS480" s="83"/>
      <c r="BT480" s="83"/>
      <c r="BU480" s="83"/>
    </row>
    <row r="481" spans="15:73"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3"/>
      <c r="AH481" s="83"/>
      <c r="AI481" s="83"/>
      <c r="AJ481" s="83"/>
      <c r="AK481" s="83"/>
      <c r="AL481" s="83"/>
      <c r="AM481" s="83"/>
      <c r="AN481" s="83"/>
      <c r="AO481" s="83"/>
      <c r="AP481" s="83"/>
      <c r="AQ481" s="83"/>
      <c r="AR481" s="83"/>
      <c r="AS481" s="83"/>
      <c r="AT481" s="83"/>
      <c r="AU481" s="83"/>
      <c r="AV481" s="83"/>
      <c r="AW481" s="83"/>
      <c r="AX481" s="83"/>
      <c r="AY481" s="83"/>
      <c r="AZ481" s="83"/>
      <c r="BA481" s="83"/>
      <c r="BB481" s="83"/>
      <c r="BC481" s="83"/>
      <c r="BD481" s="83"/>
      <c r="BE481" s="83"/>
      <c r="BF481" s="83"/>
      <c r="BG481" s="83"/>
      <c r="BH481" s="83"/>
      <c r="BI481" s="83"/>
      <c r="BJ481" s="83"/>
      <c r="BK481" s="83"/>
      <c r="BL481" s="83"/>
      <c r="BM481" s="83"/>
      <c r="BN481" s="83"/>
      <c r="BO481" s="83"/>
      <c r="BP481" s="83"/>
      <c r="BQ481" s="83"/>
      <c r="BR481" s="83"/>
      <c r="BS481" s="83"/>
      <c r="BT481" s="83"/>
      <c r="BU481" s="83"/>
    </row>
    <row r="482" spans="15:73"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3"/>
      <c r="AH482" s="83"/>
      <c r="AI482" s="83"/>
      <c r="AJ482" s="83"/>
      <c r="AK482" s="83"/>
      <c r="AL482" s="83"/>
      <c r="AM482" s="83"/>
      <c r="AN482" s="83"/>
      <c r="AO482" s="83"/>
      <c r="AP482" s="83"/>
      <c r="AQ482" s="83"/>
      <c r="AR482" s="83"/>
      <c r="AS482" s="83"/>
      <c r="AT482" s="83"/>
      <c r="AU482" s="83"/>
      <c r="AV482" s="83"/>
      <c r="AW482" s="83"/>
      <c r="AX482" s="83"/>
      <c r="AY482" s="83"/>
      <c r="AZ482" s="83"/>
      <c r="BA482" s="83"/>
      <c r="BB482" s="83"/>
      <c r="BC482" s="83"/>
      <c r="BD482" s="83"/>
      <c r="BE482" s="83"/>
      <c r="BF482" s="83"/>
      <c r="BG482" s="83"/>
      <c r="BH482" s="83"/>
      <c r="BI482" s="83"/>
      <c r="BJ482" s="83"/>
      <c r="BK482" s="83"/>
      <c r="BL482" s="83"/>
      <c r="BM482" s="83"/>
      <c r="BN482" s="83"/>
      <c r="BO482" s="83"/>
      <c r="BP482" s="83"/>
      <c r="BQ482" s="83"/>
      <c r="BR482" s="83"/>
      <c r="BS482" s="83"/>
      <c r="BT482" s="83"/>
      <c r="BU482" s="83"/>
    </row>
    <row r="483" spans="15:73"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3"/>
      <c r="AH483" s="83"/>
      <c r="AI483" s="83"/>
      <c r="AJ483" s="83"/>
      <c r="AK483" s="83"/>
      <c r="AL483" s="83"/>
      <c r="AM483" s="83"/>
      <c r="AN483" s="83"/>
      <c r="AO483" s="83"/>
      <c r="AP483" s="83"/>
      <c r="AQ483" s="83"/>
      <c r="AR483" s="83"/>
      <c r="AS483" s="83"/>
      <c r="AT483" s="83"/>
      <c r="AU483" s="83"/>
      <c r="AV483" s="83"/>
      <c r="AW483" s="83"/>
      <c r="AX483" s="83"/>
      <c r="AY483" s="83"/>
      <c r="AZ483" s="83"/>
      <c r="BA483" s="83"/>
      <c r="BB483" s="83"/>
      <c r="BC483" s="83"/>
      <c r="BD483" s="83"/>
      <c r="BE483" s="83"/>
      <c r="BF483" s="83"/>
      <c r="BG483" s="83"/>
      <c r="BH483" s="83"/>
      <c r="BI483" s="83"/>
      <c r="BJ483" s="83"/>
      <c r="BK483" s="83"/>
      <c r="BL483" s="83"/>
      <c r="BM483" s="83"/>
      <c r="BN483" s="83"/>
      <c r="BO483" s="83"/>
      <c r="BP483" s="83"/>
      <c r="BQ483" s="83"/>
      <c r="BR483" s="83"/>
      <c r="BS483" s="83"/>
      <c r="BT483" s="83"/>
      <c r="BU483" s="83"/>
    </row>
    <row r="484" spans="15:73"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3"/>
      <c r="AH484" s="83"/>
      <c r="AI484" s="83"/>
      <c r="AJ484" s="83"/>
      <c r="AK484" s="83"/>
      <c r="AL484" s="83"/>
      <c r="AM484" s="83"/>
      <c r="AN484" s="83"/>
      <c r="AO484" s="83"/>
      <c r="AP484" s="83"/>
      <c r="AQ484" s="83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83"/>
      <c r="BI484" s="83"/>
      <c r="BJ484" s="83"/>
      <c r="BK484" s="83"/>
      <c r="BL484" s="83"/>
      <c r="BM484" s="83"/>
      <c r="BN484" s="83"/>
      <c r="BO484" s="83"/>
      <c r="BP484" s="83"/>
      <c r="BQ484" s="83"/>
      <c r="BR484" s="83"/>
      <c r="BS484" s="83"/>
      <c r="BT484" s="83"/>
      <c r="BU484" s="83"/>
    </row>
    <row r="485" spans="15:73"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3"/>
      <c r="AH485" s="83"/>
      <c r="AI485" s="83"/>
      <c r="AJ485" s="83"/>
      <c r="AK485" s="83"/>
      <c r="AL485" s="83"/>
      <c r="AM485" s="83"/>
      <c r="AN485" s="83"/>
      <c r="AO485" s="83"/>
      <c r="AP485" s="83"/>
      <c r="AQ485" s="83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83"/>
      <c r="BI485" s="83"/>
      <c r="BJ485" s="83"/>
      <c r="BK485" s="83"/>
      <c r="BL485" s="83"/>
      <c r="BM485" s="83"/>
      <c r="BN485" s="83"/>
      <c r="BO485" s="83"/>
      <c r="BP485" s="83"/>
      <c r="BQ485" s="83"/>
      <c r="BR485" s="83"/>
      <c r="BS485" s="83"/>
      <c r="BT485" s="83"/>
      <c r="BU485" s="83"/>
    </row>
    <row r="486" spans="15:73"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3"/>
      <c r="AH486" s="83"/>
      <c r="AI486" s="83"/>
      <c r="AJ486" s="83"/>
      <c r="AK486" s="83"/>
      <c r="AL486" s="83"/>
      <c r="AM486" s="83"/>
      <c r="AN486" s="83"/>
      <c r="AO486" s="83"/>
      <c r="AP486" s="83"/>
      <c r="AQ486" s="83"/>
      <c r="AR486" s="83"/>
      <c r="AS486" s="83"/>
      <c r="AT486" s="83"/>
      <c r="AU486" s="83"/>
      <c r="AV486" s="83"/>
      <c r="AW486" s="83"/>
      <c r="AX486" s="83"/>
      <c r="AY486" s="83"/>
      <c r="AZ486" s="83"/>
      <c r="BA486" s="83"/>
      <c r="BB486" s="83"/>
      <c r="BC486" s="83"/>
      <c r="BD486" s="83"/>
      <c r="BE486" s="83"/>
      <c r="BF486" s="83"/>
      <c r="BG486" s="83"/>
      <c r="BH486" s="83"/>
      <c r="BI486" s="83"/>
      <c r="BJ486" s="83"/>
      <c r="BK486" s="83"/>
      <c r="BL486" s="83"/>
      <c r="BM486" s="83"/>
      <c r="BN486" s="83"/>
      <c r="BO486" s="83"/>
      <c r="BP486" s="83"/>
      <c r="BQ486" s="83"/>
      <c r="BR486" s="83"/>
      <c r="BS486" s="83"/>
      <c r="BT486" s="83"/>
      <c r="BU486" s="83"/>
    </row>
    <row r="487" spans="15:73"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3"/>
      <c r="AH487" s="83"/>
      <c r="AI487" s="83"/>
      <c r="AJ487" s="83"/>
      <c r="AK487" s="83"/>
      <c r="AL487" s="83"/>
      <c r="AM487" s="83"/>
      <c r="AN487" s="83"/>
      <c r="AO487" s="83"/>
      <c r="AP487" s="83"/>
      <c r="AQ487" s="83"/>
      <c r="AR487" s="83"/>
      <c r="AS487" s="83"/>
      <c r="AT487" s="83"/>
      <c r="AU487" s="83"/>
      <c r="AV487" s="83"/>
      <c r="AW487" s="83"/>
      <c r="AX487" s="83"/>
      <c r="AY487" s="83"/>
      <c r="AZ487" s="83"/>
      <c r="BA487" s="83"/>
      <c r="BB487" s="83"/>
      <c r="BC487" s="83"/>
      <c r="BD487" s="83"/>
      <c r="BE487" s="83"/>
      <c r="BF487" s="83"/>
      <c r="BG487" s="83"/>
      <c r="BH487" s="83"/>
      <c r="BI487" s="83"/>
      <c r="BJ487" s="83"/>
      <c r="BK487" s="83"/>
      <c r="BL487" s="83"/>
      <c r="BM487" s="83"/>
      <c r="BN487" s="83"/>
      <c r="BO487" s="83"/>
      <c r="BP487" s="83"/>
      <c r="BQ487" s="83"/>
      <c r="BR487" s="83"/>
      <c r="BS487" s="83"/>
      <c r="BT487" s="83"/>
      <c r="BU487" s="83"/>
    </row>
    <row r="488" spans="15:73"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3"/>
      <c r="AH488" s="83"/>
      <c r="AI488" s="83"/>
      <c r="AJ488" s="83"/>
      <c r="AK488" s="83"/>
      <c r="AL488" s="83"/>
      <c r="AM488" s="83"/>
      <c r="AN488" s="83"/>
      <c r="AO488" s="83"/>
      <c r="AP488" s="83"/>
      <c r="AQ488" s="83"/>
      <c r="AR488" s="83"/>
      <c r="AS488" s="83"/>
      <c r="AT488" s="83"/>
      <c r="AU488" s="83"/>
      <c r="AV488" s="83"/>
      <c r="AW488" s="83"/>
      <c r="AX488" s="83"/>
      <c r="AY488" s="83"/>
      <c r="AZ488" s="83"/>
      <c r="BA488" s="83"/>
      <c r="BB488" s="83"/>
      <c r="BC488" s="83"/>
      <c r="BD488" s="83"/>
      <c r="BE488" s="83"/>
      <c r="BF488" s="83"/>
      <c r="BG488" s="83"/>
      <c r="BH488" s="83"/>
      <c r="BI488" s="83"/>
      <c r="BJ488" s="83"/>
      <c r="BK488" s="83"/>
      <c r="BL488" s="83"/>
      <c r="BM488" s="83"/>
      <c r="BN488" s="83"/>
      <c r="BO488" s="83"/>
      <c r="BP488" s="83"/>
      <c r="BQ488" s="83"/>
      <c r="BR488" s="83"/>
      <c r="BS488" s="83"/>
      <c r="BT488" s="83"/>
      <c r="BU488" s="83"/>
    </row>
    <row r="489" spans="15:73"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3"/>
      <c r="AH489" s="83"/>
      <c r="AI489" s="83"/>
      <c r="AJ489" s="83"/>
      <c r="AK489" s="83"/>
      <c r="AL489" s="83"/>
      <c r="AM489" s="83"/>
      <c r="AN489" s="83"/>
      <c r="AO489" s="83"/>
      <c r="AP489" s="83"/>
      <c r="AQ489" s="83"/>
      <c r="AR489" s="83"/>
      <c r="AS489" s="83"/>
      <c r="AT489" s="83"/>
      <c r="AU489" s="83"/>
      <c r="AV489" s="83"/>
      <c r="AW489" s="83"/>
      <c r="AX489" s="83"/>
      <c r="AY489" s="83"/>
      <c r="AZ489" s="83"/>
      <c r="BA489" s="83"/>
      <c r="BB489" s="83"/>
      <c r="BC489" s="83"/>
      <c r="BD489" s="83"/>
      <c r="BE489" s="83"/>
      <c r="BF489" s="83"/>
      <c r="BG489" s="83"/>
      <c r="BH489" s="83"/>
      <c r="BI489" s="83"/>
      <c r="BJ489" s="83"/>
      <c r="BK489" s="83"/>
      <c r="BL489" s="83"/>
      <c r="BM489" s="83"/>
      <c r="BN489" s="83"/>
      <c r="BO489" s="83"/>
      <c r="BP489" s="83"/>
      <c r="BQ489" s="83"/>
      <c r="BR489" s="83"/>
      <c r="BS489" s="83"/>
      <c r="BT489" s="83"/>
      <c r="BU489" s="83"/>
    </row>
    <row r="490" spans="15:73"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3"/>
      <c r="AH490" s="83"/>
      <c r="AI490" s="83"/>
      <c r="AJ490" s="83"/>
      <c r="AK490" s="83"/>
      <c r="AL490" s="83"/>
      <c r="AM490" s="83"/>
      <c r="AN490" s="83"/>
      <c r="AO490" s="83"/>
      <c r="AP490" s="83"/>
      <c r="AQ490" s="83"/>
      <c r="AR490" s="83"/>
      <c r="AS490" s="83"/>
      <c r="AT490" s="83"/>
      <c r="AU490" s="83"/>
      <c r="AV490" s="83"/>
      <c r="AW490" s="83"/>
      <c r="AX490" s="83"/>
      <c r="AY490" s="83"/>
      <c r="AZ490" s="83"/>
      <c r="BA490" s="83"/>
      <c r="BB490" s="83"/>
      <c r="BC490" s="83"/>
      <c r="BD490" s="83"/>
      <c r="BE490" s="83"/>
      <c r="BF490" s="83"/>
      <c r="BG490" s="83"/>
      <c r="BH490" s="83"/>
      <c r="BI490" s="83"/>
      <c r="BJ490" s="83"/>
      <c r="BK490" s="83"/>
      <c r="BL490" s="83"/>
      <c r="BM490" s="83"/>
      <c r="BN490" s="83"/>
      <c r="BO490" s="83"/>
      <c r="BP490" s="83"/>
      <c r="BQ490" s="83"/>
      <c r="BR490" s="83"/>
      <c r="BS490" s="83"/>
      <c r="BT490" s="83"/>
      <c r="BU490" s="83"/>
    </row>
    <row r="491" spans="15:73"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3"/>
      <c r="AH491" s="83"/>
      <c r="AI491" s="83"/>
      <c r="AJ491" s="83"/>
      <c r="AK491" s="83"/>
      <c r="AL491" s="83"/>
      <c r="AM491" s="83"/>
      <c r="AN491" s="83"/>
      <c r="AO491" s="83"/>
      <c r="AP491" s="83"/>
      <c r="AQ491" s="83"/>
      <c r="AR491" s="83"/>
      <c r="AS491" s="83"/>
      <c r="AT491" s="83"/>
      <c r="AU491" s="83"/>
      <c r="AV491" s="83"/>
      <c r="AW491" s="83"/>
      <c r="AX491" s="83"/>
      <c r="AY491" s="83"/>
      <c r="AZ491" s="83"/>
      <c r="BA491" s="83"/>
      <c r="BB491" s="83"/>
      <c r="BC491" s="83"/>
      <c r="BD491" s="83"/>
      <c r="BE491" s="83"/>
      <c r="BF491" s="83"/>
      <c r="BG491" s="83"/>
      <c r="BH491" s="83"/>
      <c r="BI491" s="83"/>
      <c r="BJ491" s="83"/>
      <c r="BK491" s="83"/>
      <c r="BL491" s="83"/>
      <c r="BM491" s="83"/>
      <c r="BN491" s="83"/>
      <c r="BO491" s="83"/>
      <c r="BP491" s="83"/>
      <c r="BQ491" s="83"/>
      <c r="BR491" s="83"/>
      <c r="BS491" s="83"/>
      <c r="BT491" s="83"/>
      <c r="BU491" s="83"/>
    </row>
    <row r="492" spans="15:73"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3"/>
      <c r="AH492" s="83"/>
      <c r="AI492" s="83"/>
      <c r="AJ492" s="83"/>
      <c r="AK492" s="83"/>
      <c r="AL492" s="83"/>
      <c r="AM492" s="83"/>
      <c r="AN492" s="83"/>
      <c r="AO492" s="83"/>
      <c r="AP492" s="83"/>
      <c r="AQ492" s="83"/>
      <c r="AR492" s="83"/>
      <c r="AS492" s="83"/>
      <c r="AT492" s="83"/>
      <c r="AU492" s="83"/>
      <c r="AV492" s="83"/>
      <c r="AW492" s="83"/>
      <c r="AX492" s="83"/>
      <c r="AY492" s="83"/>
      <c r="AZ492" s="83"/>
      <c r="BA492" s="83"/>
      <c r="BB492" s="83"/>
      <c r="BC492" s="83"/>
      <c r="BD492" s="83"/>
      <c r="BE492" s="83"/>
      <c r="BF492" s="83"/>
      <c r="BG492" s="83"/>
      <c r="BH492" s="83"/>
      <c r="BI492" s="83"/>
      <c r="BJ492" s="83"/>
      <c r="BK492" s="83"/>
      <c r="BL492" s="83"/>
      <c r="BM492" s="83"/>
      <c r="BN492" s="83"/>
      <c r="BO492" s="83"/>
      <c r="BP492" s="83"/>
      <c r="BQ492" s="83"/>
      <c r="BR492" s="83"/>
      <c r="BS492" s="83"/>
      <c r="BT492" s="83"/>
      <c r="BU492" s="83"/>
    </row>
    <row r="493" spans="15:73"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3"/>
      <c r="AH493" s="83"/>
      <c r="AI493" s="83"/>
      <c r="AJ493" s="83"/>
      <c r="AK493" s="83"/>
      <c r="AL493" s="83"/>
      <c r="AM493" s="83"/>
      <c r="AN493" s="83"/>
      <c r="AO493" s="83"/>
      <c r="AP493" s="83"/>
      <c r="AQ493" s="83"/>
      <c r="AR493" s="83"/>
      <c r="AS493" s="83"/>
      <c r="AT493" s="83"/>
      <c r="AU493" s="83"/>
      <c r="AV493" s="83"/>
      <c r="AW493" s="83"/>
      <c r="AX493" s="83"/>
      <c r="AY493" s="83"/>
      <c r="AZ493" s="83"/>
      <c r="BA493" s="83"/>
      <c r="BB493" s="83"/>
      <c r="BC493" s="83"/>
      <c r="BD493" s="83"/>
      <c r="BE493" s="83"/>
      <c r="BF493" s="83"/>
      <c r="BG493" s="83"/>
      <c r="BH493" s="83"/>
      <c r="BI493" s="83"/>
      <c r="BJ493" s="83"/>
      <c r="BK493" s="83"/>
      <c r="BL493" s="83"/>
      <c r="BM493" s="83"/>
      <c r="BN493" s="83"/>
      <c r="BO493" s="83"/>
      <c r="BP493" s="83"/>
      <c r="BQ493" s="83"/>
      <c r="BR493" s="83"/>
      <c r="BS493" s="83"/>
      <c r="BT493" s="83"/>
      <c r="BU493" s="83"/>
    </row>
    <row r="494" spans="15:73"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3"/>
      <c r="AH494" s="83"/>
      <c r="AI494" s="83"/>
      <c r="AJ494" s="83"/>
      <c r="AK494" s="83"/>
      <c r="AL494" s="83"/>
      <c r="AM494" s="83"/>
      <c r="AN494" s="83"/>
      <c r="AO494" s="83"/>
      <c r="AP494" s="83"/>
      <c r="AQ494" s="83"/>
      <c r="AR494" s="83"/>
      <c r="AS494" s="83"/>
      <c r="AT494" s="83"/>
      <c r="AU494" s="83"/>
      <c r="AV494" s="83"/>
      <c r="AW494" s="83"/>
      <c r="AX494" s="83"/>
      <c r="AY494" s="83"/>
      <c r="AZ494" s="83"/>
      <c r="BA494" s="83"/>
      <c r="BB494" s="83"/>
      <c r="BC494" s="83"/>
      <c r="BD494" s="83"/>
      <c r="BE494" s="83"/>
      <c r="BF494" s="83"/>
      <c r="BG494" s="83"/>
      <c r="BH494" s="83"/>
      <c r="BI494" s="83"/>
      <c r="BJ494" s="83"/>
      <c r="BK494" s="83"/>
      <c r="BL494" s="83"/>
      <c r="BM494" s="83"/>
      <c r="BN494" s="83"/>
      <c r="BO494" s="83"/>
      <c r="BP494" s="83"/>
      <c r="BQ494" s="83"/>
      <c r="BR494" s="83"/>
      <c r="BS494" s="83"/>
      <c r="BT494" s="83"/>
      <c r="BU494" s="83"/>
    </row>
    <row r="495" spans="15:73"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3"/>
      <c r="AH495" s="83"/>
      <c r="AI495" s="83"/>
      <c r="AJ495" s="83"/>
      <c r="AK495" s="83"/>
      <c r="AL495" s="83"/>
      <c r="AM495" s="83"/>
      <c r="AN495" s="83"/>
      <c r="AO495" s="83"/>
      <c r="AP495" s="83"/>
      <c r="AQ495" s="83"/>
      <c r="AR495" s="83"/>
      <c r="AS495" s="83"/>
      <c r="AT495" s="83"/>
      <c r="AU495" s="83"/>
      <c r="AV495" s="83"/>
      <c r="AW495" s="83"/>
      <c r="AX495" s="83"/>
      <c r="AY495" s="83"/>
      <c r="AZ495" s="83"/>
      <c r="BA495" s="83"/>
      <c r="BB495" s="83"/>
      <c r="BC495" s="83"/>
      <c r="BD495" s="83"/>
      <c r="BE495" s="83"/>
      <c r="BF495" s="83"/>
      <c r="BG495" s="83"/>
      <c r="BH495" s="83"/>
      <c r="BI495" s="83"/>
      <c r="BJ495" s="83"/>
      <c r="BK495" s="83"/>
      <c r="BL495" s="83"/>
      <c r="BM495" s="83"/>
      <c r="BN495" s="83"/>
      <c r="BO495" s="83"/>
      <c r="BP495" s="83"/>
      <c r="BQ495" s="83"/>
      <c r="BR495" s="83"/>
      <c r="BS495" s="83"/>
      <c r="BT495" s="83"/>
      <c r="BU495" s="83"/>
    </row>
    <row r="496" spans="15:73"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3"/>
      <c r="AH496" s="83"/>
      <c r="AI496" s="83"/>
      <c r="AJ496" s="83"/>
      <c r="AK496" s="83"/>
      <c r="AL496" s="83"/>
      <c r="AM496" s="83"/>
      <c r="AN496" s="83"/>
      <c r="AO496" s="83"/>
      <c r="AP496" s="83"/>
      <c r="AQ496" s="83"/>
      <c r="AR496" s="83"/>
      <c r="AS496" s="83"/>
      <c r="AT496" s="83"/>
      <c r="AU496" s="83"/>
      <c r="AV496" s="83"/>
      <c r="AW496" s="83"/>
      <c r="AX496" s="83"/>
      <c r="AY496" s="83"/>
      <c r="AZ496" s="83"/>
      <c r="BA496" s="83"/>
      <c r="BB496" s="83"/>
      <c r="BC496" s="83"/>
      <c r="BD496" s="83"/>
      <c r="BE496" s="83"/>
      <c r="BF496" s="83"/>
      <c r="BG496" s="83"/>
      <c r="BH496" s="83"/>
      <c r="BI496" s="83"/>
      <c r="BJ496" s="83"/>
      <c r="BK496" s="83"/>
      <c r="BL496" s="83"/>
      <c r="BM496" s="83"/>
      <c r="BN496" s="83"/>
      <c r="BO496" s="83"/>
      <c r="BP496" s="83"/>
      <c r="BQ496" s="83"/>
      <c r="BR496" s="83"/>
      <c r="BS496" s="83"/>
      <c r="BT496" s="83"/>
      <c r="BU496" s="83"/>
    </row>
    <row r="497" spans="15:73"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3"/>
      <c r="AH497" s="83"/>
      <c r="AI497" s="83"/>
      <c r="AJ497" s="83"/>
      <c r="AK497" s="83"/>
      <c r="AL497" s="83"/>
      <c r="AM497" s="83"/>
      <c r="AN497" s="83"/>
      <c r="AO497" s="83"/>
      <c r="AP497" s="83"/>
      <c r="AQ497" s="83"/>
      <c r="AR497" s="83"/>
      <c r="AS497" s="83"/>
      <c r="AT497" s="83"/>
      <c r="AU497" s="83"/>
      <c r="AV497" s="83"/>
      <c r="AW497" s="83"/>
      <c r="AX497" s="83"/>
      <c r="AY497" s="83"/>
      <c r="AZ497" s="83"/>
      <c r="BA497" s="83"/>
      <c r="BB497" s="83"/>
      <c r="BC497" s="83"/>
      <c r="BD497" s="83"/>
      <c r="BE497" s="83"/>
      <c r="BF497" s="83"/>
      <c r="BG497" s="83"/>
      <c r="BH497" s="83"/>
      <c r="BI497" s="83"/>
      <c r="BJ497" s="83"/>
      <c r="BK497" s="83"/>
      <c r="BL497" s="83"/>
      <c r="BM497" s="83"/>
      <c r="BN497" s="83"/>
      <c r="BO497" s="83"/>
      <c r="BP497" s="83"/>
      <c r="BQ497" s="83"/>
      <c r="BR497" s="83"/>
      <c r="BS497" s="83"/>
      <c r="BT497" s="83"/>
      <c r="BU497" s="83"/>
    </row>
    <row r="498" spans="15:73"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3"/>
      <c r="AH498" s="83"/>
      <c r="AI498" s="83"/>
      <c r="AJ498" s="83"/>
      <c r="AK498" s="83"/>
      <c r="AL498" s="83"/>
      <c r="AM498" s="83"/>
      <c r="AN498" s="83"/>
      <c r="AO498" s="83"/>
      <c r="AP498" s="83"/>
      <c r="AQ498" s="83"/>
      <c r="AR498" s="83"/>
      <c r="AS498" s="83"/>
      <c r="AT498" s="83"/>
      <c r="AU498" s="83"/>
      <c r="AV498" s="83"/>
      <c r="AW498" s="83"/>
      <c r="AX498" s="83"/>
      <c r="AY498" s="83"/>
      <c r="AZ498" s="83"/>
      <c r="BA498" s="83"/>
      <c r="BB498" s="83"/>
      <c r="BC498" s="83"/>
      <c r="BD498" s="83"/>
      <c r="BE498" s="83"/>
      <c r="BF498" s="83"/>
      <c r="BG498" s="83"/>
      <c r="BH498" s="83"/>
      <c r="BI498" s="83"/>
      <c r="BJ498" s="83"/>
      <c r="BK498" s="83"/>
      <c r="BL498" s="83"/>
      <c r="BM498" s="83"/>
      <c r="BN498" s="83"/>
      <c r="BO498" s="83"/>
      <c r="BP498" s="83"/>
      <c r="BQ498" s="83"/>
      <c r="BR498" s="83"/>
      <c r="BS498" s="83"/>
      <c r="BT498" s="83"/>
      <c r="BU498" s="83"/>
    </row>
    <row r="499" spans="15:73"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3"/>
      <c r="AH499" s="83"/>
      <c r="AI499" s="83"/>
      <c r="AJ499" s="83"/>
      <c r="AK499" s="83"/>
      <c r="AL499" s="83"/>
      <c r="AM499" s="83"/>
      <c r="AN499" s="83"/>
      <c r="AO499" s="83"/>
      <c r="AP499" s="83"/>
      <c r="AQ499" s="83"/>
      <c r="AR499" s="83"/>
      <c r="AS499" s="83"/>
      <c r="AT499" s="83"/>
      <c r="AU499" s="83"/>
      <c r="AV499" s="83"/>
      <c r="AW499" s="83"/>
      <c r="AX499" s="83"/>
      <c r="AY499" s="83"/>
      <c r="AZ499" s="83"/>
      <c r="BA499" s="83"/>
      <c r="BB499" s="83"/>
      <c r="BC499" s="83"/>
      <c r="BD499" s="83"/>
      <c r="BE499" s="83"/>
      <c r="BF499" s="83"/>
      <c r="BG499" s="83"/>
      <c r="BH499" s="83"/>
      <c r="BI499" s="83"/>
      <c r="BJ499" s="83"/>
      <c r="BK499" s="83"/>
      <c r="BL499" s="83"/>
      <c r="BM499" s="83"/>
      <c r="BN499" s="83"/>
      <c r="BO499" s="83"/>
      <c r="BP499" s="83"/>
      <c r="BQ499" s="83"/>
      <c r="BR499" s="83"/>
      <c r="BS499" s="83"/>
      <c r="BT499" s="83"/>
      <c r="BU499" s="83"/>
    </row>
    <row r="500" spans="15:73"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3"/>
      <c r="AH500" s="83"/>
      <c r="AI500" s="83"/>
      <c r="AJ500" s="83"/>
      <c r="AK500" s="83"/>
      <c r="AL500" s="83"/>
      <c r="AM500" s="83"/>
      <c r="AN500" s="83"/>
      <c r="AO500" s="83"/>
      <c r="AP500" s="83"/>
      <c r="AQ500" s="83"/>
      <c r="AR500" s="83"/>
      <c r="AS500" s="83"/>
      <c r="AT500" s="83"/>
      <c r="AU500" s="83"/>
      <c r="AV500" s="83"/>
      <c r="AW500" s="83"/>
      <c r="AX500" s="83"/>
      <c r="AY500" s="83"/>
      <c r="AZ500" s="83"/>
      <c r="BA500" s="83"/>
      <c r="BB500" s="83"/>
      <c r="BC500" s="83"/>
      <c r="BD500" s="83"/>
      <c r="BE500" s="83"/>
      <c r="BF500" s="83"/>
      <c r="BG500" s="83"/>
      <c r="BH500" s="83"/>
      <c r="BI500" s="83"/>
      <c r="BJ500" s="83"/>
      <c r="BK500" s="83"/>
      <c r="BL500" s="83"/>
      <c r="BM500" s="83"/>
      <c r="BN500" s="83"/>
      <c r="BO500" s="83"/>
      <c r="BP500" s="83"/>
      <c r="BQ500" s="83"/>
      <c r="BR500" s="83"/>
      <c r="BS500" s="83"/>
      <c r="BT500" s="83"/>
      <c r="BU500" s="83"/>
    </row>
    <row r="501" spans="15:73"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3"/>
      <c r="AH501" s="83"/>
      <c r="AI501" s="83"/>
      <c r="AJ501" s="83"/>
      <c r="AK501" s="83"/>
      <c r="AL501" s="83"/>
      <c r="AM501" s="83"/>
      <c r="AN501" s="83"/>
      <c r="AO501" s="83"/>
      <c r="AP501" s="83"/>
      <c r="AQ501" s="83"/>
      <c r="AR501" s="83"/>
      <c r="AS501" s="83"/>
      <c r="AT501" s="83"/>
      <c r="AU501" s="83"/>
      <c r="AV501" s="83"/>
      <c r="AW501" s="83"/>
      <c r="AX501" s="83"/>
      <c r="AY501" s="83"/>
      <c r="AZ501" s="83"/>
      <c r="BA501" s="83"/>
      <c r="BB501" s="83"/>
      <c r="BC501" s="83"/>
      <c r="BD501" s="83"/>
      <c r="BE501" s="83"/>
      <c r="BF501" s="83"/>
      <c r="BG501" s="83"/>
      <c r="BH501" s="83"/>
      <c r="BI501" s="83"/>
      <c r="BJ501" s="83"/>
      <c r="BK501" s="83"/>
      <c r="BL501" s="83"/>
      <c r="BM501" s="83"/>
      <c r="BN501" s="83"/>
      <c r="BO501" s="83"/>
      <c r="BP501" s="83"/>
      <c r="BQ501" s="83"/>
      <c r="BR501" s="83"/>
      <c r="BS501" s="83"/>
      <c r="BT501" s="83"/>
      <c r="BU501" s="83"/>
    </row>
    <row r="502" spans="15:73"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3"/>
      <c r="AH502" s="83"/>
      <c r="AI502" s="83"/>
      <c r="AJ502" s="83"/>
      <c r="AK502" s="83"/>
      <c r="AL502" s="83"/>
      <c r="AM502" s="83"/>
      <c r="AN502" s="83"/>
      <c r="AO502" s="83"/>
      <c r="AP502" s="83"/>
      <c r="AQ502" s="83"/>
      <c r="AR502" s="83"/>
      <c r="AS502" s="83"/>
      <c r="AT502" s="83"/>
      <c r="AU502" s="83"/>
      <c r="AV502" s="83"/>
      <c r="AW502" s="83"/>
      <c r="AX502" s="83"/>
      <c r="AY502" s="83"/>
      <c r="AZ502" s="83"/>
      <c r="BA502" s="83"/>
      <c r="BB502" s="83"/>
      <c r="BC502" s="83"/>
      <c r="BD502" s="83"/>
      <c r="BE502" s="83"/>
      <c r="BF502" s="83"/>
      <c r="BG502" s="83"/>
      <c r="BH502" s="83"/>
      <c r="BI502" s="83"/>
      <c r="BJ502" s="83"/>
      <c r="BK502" s="83"/>
      <c r="BL502" s="83"/>
      <c r="BM502" s="83"/>
      <c r="BN502" s="83"/>
      <c r="BO502" s="83"/>
      <c r="BP502" s="83"/>
      <c r="BQ502" s="83"/>
      <c r="BR502" s="83"/>
      <c r="BS502" s="83"/>
      <c r="BT502" s="83"/>
      <c r="BU502" s="83"/>
    </row>
    <row r="503" spans="15:73"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3"/>
      <c r="AH503" s="83"/>
      <c r="AI503" s="83"/>
      <c r="AJ503" s="83"/>
      <c r="AK503" s="83"/>
      <c r="AL503" s="83"/>
      <c r="AM503" s="83"/>
      <c r="AN503" s="83"/>
      <c r="AO503" s="83"/>
      <c r="AP503" s="83"/>
      <c r="AQ503" s="83"/>
      <c r="AR503" s="83"/>
      <c r="AS503" s="83"/>
      <c r="AT503" s="83"/>
      <c r="AU503" s="83"/>
      <c r="AV503" s="83"/>
      <c r="AW503" s="83"/>
      <c r="AX503" s="83"/>
      <c r="AY503" s="83"/>
      <c r="AZ503" s="83"/>
      <c r="BA503" s="83"/>
      <c r="BB503" s="83"/>
      <c r="BC503" s="83"/>
      <c r="BD503" s="83"/>
      <c r="BE503" s="83"/>
      <c r="BF503" s="83"/>
      <c r="BG503" s="83"/>
      <c r="BH503" s="83"/>
      <c r="BI503" s="83"/>
      <c r="BJ503" s="83"/>
      <c r="BK503" s="83"/>
      <c r="BL503" s="83"/>
      <c r="BM503" s="83"/>
      <c r="BN503" s="83"/>
      <c r="BO503" s="83"/>
      <c r="BP503" s="83"/>
      <c r="BQ503" s="83"/>
      <c r="BR503" s="83"/>
      <c r="BS503" s="83"/>
      <c r="BT503" s="83"/>
      <c r="BU503" s="83"/>
    </row>
    <row r="504" spans="15:73"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3"/>
      <c r="AH504" s="83"/>
      <c r="AI504" s="83"/>
      <c r="AJ504" s="83"/>
      <c r="AK504" s="83"/>
      <c r="AL504" s="83"/>
      <c r="AM504" s="83"/>
      <c r="AN504" s="83"/>
      <c r="AO504" s="83"/>
      <c r="AP504" s="83"/>
      <c r="AQ504" s="83"/>
      <c r="AR504" s="83"/>
      <c r="AS504" s="83"/>
      <c r="AT504" s="83"/>
      <c r="AU504" s="83"/>
      <c r="AV504" s="83"/>
      <c r="AW504" s="83"/>
      <c r="AX504" s="83"/>
      <c r="AY504" s="83"/>
      <c r="AZ504" s="83"/>
      <c r="BA504" s="83"/>
      <c r="BB504" s="83"/>
      <c r="BC504" s="83"/>
      <c r="BD504" s="83"/>
      <c r="BE504" s="83"/>
      <c r="BF504" s="83"/>
      <c r="BG504" s="83"/>
      <c r="BH504" s="83"/>
      <c r="BI504" s="83"/>
      <c r="BJ504" s="83"/>
      <c r="BK504" s="83"/>
      <c r="BL504" s="83"/>
      <c r="BM504" s="83"/>
      <c r="BN504" s="83"/>
      <c r="BO504" s="83"/>
      <c r="BP504" s="83"/>
      <c r="BQ504" s="83"/>
      <c r="BR504" s="83"/>
      <c r="BS504" s="83"/>
      <c r="BT504" s="83"/>
      <c r="BU504" s="83"/>
    </row>
    <row r="505" spans="15:73"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3"/>
      <c r="AH505" s="83"/>
      <c r="AI505" s="83"/>
      <c r="AJ505" s="83"/>
      <c r="AK505" s="83"/>
      <c r="AL505" s="83"/>
      <c r="AM505" s="83"/>
      <c r="AN505" s="83"/>
      <c r="AO505" s="83"/>
      <c r="AP505" s="83"/>
      <c r="AQ505" s="83"/>
      <c r="AR505" s="83"/>
      <c r="AS505" s="83"/>
      <c r="AT505" s="83"/>
      <c r="AU505" s="83"/>
      <c r="AV505" s="83"/>
      <c r="AW505" s="83"/>
      <c r="AX505" s="83"/>
      <c r="AY505" s="83"/>
      <c r="AZ505" s="83"/>
      <c r="BA505" s="83"/>
      <c r="BB505" s="83"/>
      <c r="BC505" s="83"/>
      <c r="BD505" s="83"/>
      <c r="BE505" s="83"/>
      <c r="BF505" s="83"/>
      <c r="BG505" s="83"/>
      <c r="BH505" s="83"/>
      <c r="BI505" s="83"/>
      <c r="BJ505" s="83"/>
      <c r="BK505" s="83"/>
      <c r="BL505" s="83"/>
      <c r="BM505" s="83"/>
      <c r="BN505" s="83"/>
      <c r="BO505" s="83"/>
      <c r="BP505" s="83"/>
      <c r="BQ505" s="83"/>
      <c r="BR505" s="83"/>
      <c r="BS505" s="83"/>
      <c r="BT505" s="83"/>
      <c r="BU505" s="83"/>
    </row>
    <row r="506" spans="15:73"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3"/>
      <c r="AH506" s="83"/>
      <c r="AI506" s="83"/>
      <c r="AJ506" s="83"/>
      <c r="AK506" s="83"/>
      <c r="AL506" s="83"/>
      <c r="AM506" s="83"/>
      <c r="AN506" s="83"/>
      <c r="AO506" s="83"/>
      <c r="AP506" s="83"/>
      <c r="AQ506" s="83"/>
      <c r="AR506" s="83"/>
      <c r="AS506" s="83"/>
      <c r="AT506" s="83"/>
      <c r="AU506" s="83"/>
      <c r="AV506" s="83"/>
      <c r="AW506" s="83"/>
      <c r="AX506" s="83"/>
      <c r="AY506" s="83"/>
      <c r="AZ506" s="83"/>
      <c r="BA506" s="83"/>
      <c r="BB506" s="83"/>
      <c r="BC506" s="83"/>
      <c r="BD506" s="83"/>
      <c r="BE506" s="83"/>
      <c r="BF506" s="83"/>
      <c r="BG506" s="83"/>
      <c r="BH506" s="83"/>
      <c r="BI506" s="83"/>
      <c r="BJ506" s="83"/>
      <c r="BK506" s="83"/>
      <c r="BL506" s="83"/>
      <c r="BM506" s="83"/>
      <c r="BN506" s="83"/>
      <c r="BO506" s="83"/>
      <c r="BP506" s="83"/>
      <c r="BQ506" s="83"/>
      <c r="BR506" s="83"/>
      <c r="BS506" s="83"/>
      <c r="BT506" s="83"/>
      <c r="BU506" s="83"/>
    </row>
    <row r="507" spans="15:73"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3"/>
      <c r="AH507" s="83"/>
      <c r="AI507" s="83"/>
      <c r="AJ507" s="83"/>
      <c r="AK507" s="83"/>
      <c r="AL507" s="83"/>
      <c r="AM507" s="83"/>
      <c r="AN507" s="83"/>
      <c r="AO507" s="83"/>
      <c r="AP507" s="83"/>
      <c r="AQ507" s="83"/>
      <c r="AR507" s="83"/>
      <c r="AS507" s="83"/>
      <c r="AT507" s="83"/>
      <c r="AU507" s="83"/>
      <c r="AV507" s="83"/>
      <c r="AW507" s="83"/>
      <c r="AX507" s="83"/>
      <c r="AY507" s="83"/>
      <c r="AZ507" s="83"/>
      <c r="BA507" s="83"/>
      <c r="BB507" s="83"/>
      <c r="BC507" s="83"/>
      <c r="BD507" s="83"/>
      <c r="BE507" s="83"/>
      <c r="BF507" s="83"/>
      <c r="BG507" s="83"/>
      <c r="BH507" s="83"/>
      <c r="BI507" s="83"/>
      <c r="BJ507" s="83"/>
      <c r="BK507" s="83"/>
      <c r="BL507" s="83"/>
      <c r="BM507" s="83"/>
      <c r="BN507" s="83"/>
      <c r="BO507" s="83"/>
      <c r="BP507" s="83"/>
      <c r="BQ507" s="83"/>
      <c r="BR507" s="83"/>
      <c r="BS507" s="83"/>
      <c r="BT507" s="83"/>
      <c r="BU507" s="83"/>
    </row>
    <row r="508" spans="15:73"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3"/>
      <c r="AH508" s="83"/>
      <c r="AI508" s="83"/>
      <c r="AJ508" s="83"/>
      <c r="AK508" s="83"/>
      <c r="AL508" s="83"/>
      <c r="AM508" s="83"/>
      <c r="AN508" s="83"/>
      <c r="AO508" s="83"/>
      <c r="AP508" s="83"/>
      <c r="AQ508" s="83"/>
      <c r="AR508" s="83"/>
      <c r="AS508" s="83"/>
      <c r="AT508" s="83"/>
      <c r="AU508" s="83"/>
      <c r="AV508" s="83"/>
      <c r="AW508" s="83"/>
      <c r="AX508" s="83"/>
      <c r="AY508" s="83"/>
      <c r="AZ508" s="83"/>
      <c r="BA508" s="83"/>
      <c r="BB508" s="83"/>
      <c r="BC508" s="83"/>
      <c r="BD508" s="83"/>
      <c r="BE508" s="83"/>
      <c r="BF508" s="83"/>
      <c r="BG508" s="83"/>
      <c r="BH508" s="83"/>
      <c r="BI508" s="83"/>
      <c r="BJ508" s="83"/>
      <c r="BK508" s="83"/>
      <c r="BL508" s="83"/>
      <c r="BM508" s="83"/>
      <c r="BN508" s="83"/>
      <c r="BO508" s="83"/>
      <c r="BP508" s="83"/>
      <c r="BQ508" s="83"/>
      <c r="BR508" s="83"/>
      <c r="BS508" s="83"/>
      <c r="BT508" s="83"/>
      <c r="BU508" s="83"/>
    </row>
    <row r="509" spans="15:73"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3"/>
      <c r="AH509" s="83"/>
      <c r="AI509" s="83"/>
      <c r="AJ509" s="83"/>
      <c r="AK509" s="83"/>
      <c r="AL509" s="83"/>
      <c r="AM509" s="83"/>
      <c r="AN509" s="83"/>
      <c r="AO509" s="83"/>
      <c r="AP509" s="83"/>
      <c r="AQ509" s="83"/>
      <c r="AR509" s="83"/>
      <c r="AS509" s="83"/>
      <c r="AT509" s="83"/>
      <c r="AU509" s="83"/>
      <c r="AV509" s="83"/>
      <c r="AW509" s="83"/>
      <c r="AX509" s="83"/>
      <c r="AY509" s="83"/>
      <c r="AZ509" s="83"/>
      <c r="BA509" s="83"/>
      <c r="BB509" s="83"/>
      <c r="BC509" s="83"/>
      <c r="BD509" s="83"/>
      <c r="BE509" s="83"/>
      <c r="BF509" s="83"/>
      <c r="BG509" s="83"/>
      <c r="BH509" s="83"/>
      <c r="BI509" s="83"/>
      <c r="BJ509" s="83"/>
      <c r="BK509" s="83"/>
      <c r="BL509" s="83"/>
      <c r="BM509" s="83"/>
      <c r="BN509" s="83"/>
      <c r="BO509" s="83"/>
      <c r="BP509" s="83"/>
      <c r="BQ509" s="83"/>
      <c r="BR509" s="83"/>
      <c r="BS509" s="83"/>
      <c r="BT509" s="83"/>
      <c r="BU509" s="83"/>
    </row>
    <row r="510" spans="15:73"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3"/>
      <c r="AH510" s="83"/>
      <c r="AI510" s="83"/>
      <c r="AJ510" s="83"/>
      <c r="AK510" s="83"/>
      <c r="AL510" s="83"/>
      <c r="AM510" s="83"/>
      <c r="AN510" s="83"/>
      <c r="AO510" s="83"/>
      <c r="AP510" s="83"/>
      <c r="AQ510" s="83"/>
      <c r="AR510" s="83"/>
      <c r="AS510" s="83"/>
      <c r="AT510" s="83"/>
      <c r="AU510" s="83"/>
      <c r="AV510" s="83"/>
      <c r="AW510" s="83"/>
      <c r="AX510" s="83"/>
      <c r="AY510" s="83"/>
      <c r="AZ510" s="83"/>
      <c r="BA510" s="83"/>
      <c r="BB510" s="83"/>
      <c r="BC510" s="83"/>
      <c r="BD510" s="83"/>
      <c r="BE510" s="83"/>
      <c r="BF510" s="83"/>
      <c r="BG510" s="83"/>
      <c r="BH510" s="83"/>
      <c r="BI510" s="83"/>
      <c r="BJ510" s="83"/>
      <c r="BK510" s="83"/>
      <c r="BL510" s="83"/>
      <c r="BM510" s="83"/>
      <c r="BN510" s="83"/>
      <c r="BO510" s="83"/>
      <c r="BP510" s="83"/>
      <c r="BQ510" s="83"/>
      <c r="BR510" s="83"/>
      <c r="BS510" s="83"/>
      <c r="BT510" s="83"/>
      <c r="BU510" s="83"/>
    </row>
    <row r="511" spans="15:73"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3"/>
      <c r="AH511" s="83"/>
      <c r="AI511" s="83"/>
      <c r="AJ511" s="83"/>
      <c r="AK511" s="83"/>
      <c r="AL511" s="83"/>
      <c r="AM511" s="83"/>
      <c r="AN511" s="83"/>
      <c r="AO511" s="83"/>
      <c r="AP511" s="83"/>
      <c r="AQ511" s="83"/>
      <c r="AR511" s="83"/>
      <c r="AS511" s="83"/>
      <c r="AT511" s="83"/>
      <c r="AU511" s="83"/>
      <c r="AV511" s="83"/>
      <c r="AW511" s="83"/>
      <c r="AX511" s="83"/>
      <c r="AY511" s="83"/>
      <c r="AZ511" s="83"/>
      <c r="BA511" s="83"/>
      <c r="BB511" s="83"/>
      <c r="BC511" s="83"/>
      <c r="BD511" s="83"/>
      <c r="BE511" s="83"/>
      <c r="BF511" s="83"/>
      <c r="BG511" s="83"/>
      <c r="BH511" s="83"/>
      <c r="BI511" s="83"/>
      <c r="BJ511" s="83"/>
      <c r="BK511" s="83"/>
      <c r="BL511" s="83"/>
      <c r="BM511" s="83"/>
      <c r="BN511" s="83"/>
      <c r="BO511" s="83"/>
      <c r="BP511" s="83"/>
      <c r="BQ511" s="83"/>
      <c r="BR511" s="83"/>
      <c r="BS511" s="83"/>
      <c r="BT511" s="83"/>
      <c r="BU511" s="83"/>
    </row>
    <row r="512" spans="15:73"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3"/>
      <c r="AH512" s="83"/>
      <c r="AI512" s="83"/>
      <c r="AJ512" s="83"/>
      <c r="AK512" s="83"/>
      <c r="AL512" s="83"/>
      <c r="AM512" s="83"/>
      <c r="AN512" s="83"/>
      <c r="AO512" s="83"/>
      <c r="AP512" s="83"/>
      <c r="AQ512" s="83"/>
      <c r="AR512" s="83"/>
      <c r="AS512" s="83"/>
      <c r="AT512" s="83"/>
      <c r="AU512" s="83"/>
      <c r="AV512" s="83"/>
      <c r="AW512" s="83"/>
      <c r="AX512" s="83"/>
      <c r="AY512" s="83"/>
      <c r="AZ512" s="83"/>
      <c r="BA512" s="83"/>
      <c r="BB512" s="83"/>
      <c r="BC512" s="83"/>
      <c r="BD512" s="83"/>
      <c r="BE512" s="83"/>
      <c r="BF512" s="83"/>
      <c r="BG512" s="83"/>
      <c r="BH512" s="83"/>
      <c r="BI512" s="83"/>
      <c r="BJ512" s="83"/>
      <c r="BK512" s="83"/>
      <c r="BL512" s="83"/>
      <c r="BM512" s="83"/>
      <c r="BN512" s="83"/>
      <c r="BO512" s="83"/>
      <c r="BP512" s="83"/>
      <c r="BQ512" s="83"/>
      <c r="BR512" s="83"/>
      <c r="BS512" s="83"/>
      <c r="BT512" s="83"/>
      <c r="BU512" s="83"/>
    </row>
    <row r="513" spans="15:73"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3"/>
      <c r="AH513" s="83"/>
      <c r="AI513" s="83"/>
      <c r="AJ513" s="83"/>
      <c r="AK513" s="83"/>
      <c r="AL513" s="83"/>
      <c r="AM513" s="83"/>
      <c r="AN513" s="83"/>
      <c r="AO513" s="83"/>
      <c r="AP513" s="83"/>
      <c r="AQ513" s="83"/>
      <c r="AR513" s="83"/>
      <c r="AS513" s="83"/>
      <c r="AT513" s="83"/>
      <c r="AU513" s="83"/>
      <c r="AV513" s="83"/>
      <c r="AW513" s="83"/>
      <c r="AX513" s="83"/>
      <c r="AY513" s="83"/>
      <c r="AZ513" s="83"/>
      <c r="BA513" s="83"/>
      <c r="BB513" s="83"/>
      <c r="BC513" s="83"/>
      <c r="BD513" s="83"/>
      <c r="BE513" s="83"/>
      <c r="BF513" s="83"/>
      <c r="BG513" s="83"/>
      <c r="BH513" s="83"/>
      <c r="BI513" s="83"/>
      <c r="BJ513" s="83"/>
      <c r="BK513" s="83"/>
      <c r="BL513" s="83"/>
      <c r="BM513" s="83"/>
      <c r="BN513" s="83"/>
      <c r="BO513" s="83"/>
      <c r="BP513" s="83"/>
      <c r="BQ513" s="83"/>
      <c r="BR513" s="83"/>
      <c r="BS513" s="83"/>
      <c r="BT513" s="83"/>
      <c r="BU513" s="83"/>
    </row>
    <row r="514" spans="15:73"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3"/>
      <c r="AH514" s="83"/>
      <c r="AI514" s="83"/>
      <c r="AJ514" s="83"/>
      <c r="AK514" s="83"/>
      <c r="AL514" s="83"/>
      <c r="AM514" s="83"/>
      <c r="AN514" s="83"/>
      <c r="AO514" s="83"/>
      <c r="AP514" s="83"/>
      <c r="AQ514" s="83"/>
      <c r="AR514" s="83"/>
      <c r="AS514" s="83"/>
      <c r="AT514" s="83"/>
      <c r="AU514" s="83"/>
      <c r="AV514" s="83"/>
      <c r="AW514" s="83"/>
      <c r="AX514" s="83"/>
      <c r="AY514" s="83"/>
      <c r="AZ514" s="83"/>
      <c r="BA514" s="83"/>
      <c r="BB514" s="83"/>
      <c r="BC514" s="83"/>
      <c r="BD514" s="83"/>
      <c r="BE514" s="83"/>
      <c r="BF514" s="83"/>
      <c r="BG514" s="83"/>
      <c r="BH514" s="83"/>
      <c r="BI514" s="83"/>
      <c r="BJ514" s="83"/>
      <c r="BK514" s="83"/>
      <c r="BL514" s="83"/>
      <c r="BM514" s="83"/>
      <c r="BN514" s="83"/>
      <c r="BO514" s="83"/>
      <c r="BP514" s="83"/>
      <c r="BQ514" s="83"/>
      <c r="BR514" s="83"/>
      <c r="BS514" s="83"/>
      <c r="BT514" s="83"/>
      <c r="BU514" s="83"/>
    </row>
    <row r="515" spans="15:73"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3"/>
      <c r="AH515" s="83"/>
      <c r="AI515" s="83"/>
      <c r="AJ515" s="83"/>
      <c r="AK515" s="83"/>
      <c r="AL515" s="83"/>
      <c r="AM515" s="83"/>
      <c r="AN515" s="83"/>
      <c r="AO515" s="83"/>
      <c r="AP515" s="83"/>
      <c r="AQ515" s="83"/>
      <c r="AR515" s="83"/>
      <c r="AS515" s="83"/>
      <c r="AT515" s="83"/>
      <c r="AU515" s="83"/>
      <c r="AV515" s="83"/>
      <c r="AW515" s="83"/>
      <c r="AX515" s="83"/>
      <c r="AY515" s="83"/>
      <c r="AZ515" s="83"/>
      <c r="BA515" s="83"/>
      <c r="BB515" s="83"/>
      <c r="BC515" s="83"/>
      <c r="BD515" s="83"/>
      <c r="BE515" s="83"/>
      <c r="BF515" s="83"/>
      <c r="BG515" s="83"/>
      <c r="BH515" s="83"/>
      <c r="BI515" s="83"/>
      <c r="BJ515" s="83"/>
      <c r="BK515" s="83"/>
      <c r="BL515" s="83"/>
      <c r="BM515" s="83"/>
      <c r="BN515" s="83"/>
      <c r="BO515" s="83"/>
      <c r="BP515" s="83"/>
      <c r="BQ515" s="83"/>
      <c r="BR515" s="83"/>
      <c r="BS515" s="83"/>
      <c r="BT515" s="83"/>
      <c r="BU515" s="83"/>
    </row>
    <row r="516" spans="15:73"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3"/>
      <c r="AH516" s="83"/>
      <c r="AI516" s="83"/>
      <c r="AJ516" s="83"/>
      <c r="AK516" s="83"/>
      <c r="AL516" s="83"/>
      <c r="AM516" s="83"/>
      <c r="AN516" s="83"/>
      <c r="AO516" s="83"/>
      <c r="AP516" s="83"/>
      <c r="AQ516" s="83"/>
      <c r="AR516" s="83"/>
      <c r="AS516" s="83"/>
      <c r="AT516" s="83"/>
      <c r="AU516" s="83"/>
      <c r="AV516" s="83"/>
      <c r="AW516" s="83"/>
      <c r="AX516" s="83"/>
      <c r="AY516" s="83"/>
      <c r="AZ516" s="83"/>
      <c r="BA516" s="83"/>
      <c r="BB516" s="83"/>
      <c r="BC516" s="83"/>
      <c r="BD516" s="83"/>
      <c r="BE516" s="83"/>
      <c r="BF516" s="83"/>
      <c r="BG516" s="83"/>
      <c r="BH516" s="83"/>
      <c r="BI516" s="83"/>
      <c r="BJ516" s="83"/>
      <c r="BK516" s="83"/>
      <c r="BL516" s="83"/>
      <c r="BM516" s="83"/>
      <c r="BN516" s="83"/>
      <c r="BO516" s="83"/>
      <c r="BP516" s="83"/>
      <c r="BQ516" s="83"/>
      <c r="BR516" s="83"/>
      <c r="BS516" s="83"/>
      <c r="BT516" s="83"/>
      <c r="BU516" s="83"/>
    </row>
    <row r="517" spans="15:73"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3"/>
      <c r="AH517" s="83"/>
      <c r="AI517" s="83"/>
      <c r="AJ517" s="83"/>
      <c r="AK517" s="83"/>
      <c r="AL517" s="83"/>
      <c r="AM517" s="83"/>
      <c r="AN517" s="83"/>
      <c r="AO517" s="83"/>
      <c r="AP517" s="83"/>
      <c r="AQ517" s="83"/>
      <c r="AR517" s="83"/>
      <c r="AS517" s="83"/>
      <c r="AT517" s="83"/>
      <c r="AU517" s="83"/>
      <c r="AV517" s="83"/>
      <c r="AW517" s="83"/>
      <c r="AX517" s="83"/>
      <c r="AY517" s="83"/>
      <c r="AZ517" s="83"/>
      <c r="BA517" s="83"/>
      <c r="BB517" s="83"/>
      <c r="BC517" s="83"/>
      <c r="BD517" s="83"/>
      <c r="BE517" s="83"/>
      <c r="BF517" s="83"/>
      <c r="BG517" s="83"/>
      <c r="BH517" s="83"/>
      <c r="BI517" s="83"/>
      <c r="BJ517" s="83"/>
      <c r="BK517" s="83"/>
      <c r="BL517" s="83"/>
      <c r="BM517" s="83"/>
      <c r="BN517" s="83"/>
      <c r="BO517" s="83"/>
      <c r="BP517" s="83"/>
      <c r="BQ517" s="83"/>
      <c r="BR517" s="83"/>
      <c r="BS517" s="83"/>
      <c r="BT517" s="83"/>
      <c r="BU517" s="83"/>
    </row>
    <row r="518" spans="15:73"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3"/>
      <c r="AH518" s="83"/>
      <c r="AI518" s="83"/>
      <c r="AJ518" s="83"/>
      <c r="AK518" s="83"/>
      <c r="AL518" s="83"/>
      <c r="AM518" s="83"/>
      <c r="AN518" s="83"/>
      <c r="AO518" s="83"/>
      <c r="AP518" s="83"/>
      <c r="AQ518" s="83"/>
      <c r="AR518" s="83"/>
      <c r="AS518" s="83"/>
      <c r="AT518" s="83"/>
      <c r="AU518" s="83"/>
      <c r="AV518" s="83"/>
      <c r="AW518" s="83"/>
      <c r="AX518" s="83"/>
      <c r="AY518" s="83"/>
      <c r="AZ518" s="83"/>
      <c r="BA518" s="83"/>
      <c r="BB518" s="83"/>
      <c r="BC518" s="83"/>
      <c r="BD518" s="83"/>
      <c r="BE518" s="83"/>
      <c r="BF518" s="83"/>
      <c r="BG518" s="83"/>
      <c r="BH518" s="83"/>
      <c r="BI518" s="83"/>
      <c r="BJ518" s="83"/>
      <c r="BK518" s="83"/>
      <c r="BL518" s="83"/>
      <c r="BM518" s="83"/>
      <c r="BN518" s="83"/>
      <c r="BO518" s="83"/>
      <c r="BP518" s="83"/>
      <c r="BQ518" s="83"/>
      <c r="BR518" s="83"/>
      <c r="BS518" s="83"/>
      <c r="BT518" s="83"/>
      <c r="BU518" s="83"/>
    </row>
    <row r="519" spans="15:73"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3"/>
      <c r="AH519" s="83"/>
      <c r="AI519" s="83"/>
      <c r="AJ519" s="83"/>
      <c r="AK519" s="83"/>
      <c r="AL519" s="83"/>
      <c r="AM519" s="83"/>
      <c r="AN519" s="83"/>
      <c r="AO519" s="83"/>
      <c r="AP519" s="83"/>
      <c r="AQ519" s="83"/>
      <c r="AR519" s="83"/>
      <c r="AS519" s="83"/>
      <c r="AT519" s="83"/>
      <c r="AU519" s="83"/>
      <c r="AV519" s="83"/>
      <c r="AW519" s="83"/>
      <c r="AX519" s="83"/>
      <c r="AY519" s="83"/>
      <c r="AZ519" s="83"/>
      <c r="BA519" s="83"/>
      <c r="BB519" s="83"/>
      <c r="BC519" s="83"/>
      <c r="BD519" s="83"/>
      <c r="BE519" s="83"/>
      <c r="BF519" s="83"/>
      <c r="BG519" s="83"/>
      <c r="BH519" s="83"/>
      <c r="BI519" s="83"/>
      <c r="BJ519" s="83"/>
      <c r="BK519" s="83"/>
      <c r="BL519" s="83"/>
      <c r="BM519" s="83"/>
      <c r="BN519" s="83"/>
      <c r="BO519" s="83"/>
      <c r="BP519" s="83"/>
      <c r="BQ519" s="83"/>
      <c r="BR519" s="83"/>
      <c r="BS519" s="83"/>
      <c r="BT519" s="83"/>
      <c r="BU519" s="83"/>
    </row>
    <row r="520" spans="15:73"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3"/>
      <c r="AH520" s="83"/>
      <c r="AI520" s="83"/>
      <c r="AJ520" s="83"/>
      <c r="AK520" s="83"/>
      <c r="AL520" s="83"/>
      <c r="AM520" s="83"/>
      <c r="AN520" s="83"/>
      <c r="AO520" s="83"/>
      <c r="AP520" s="83"/>
      <c r="AQ520" s="83"/>
      <c r="AR520" s="83"/>
      <c r="AS520" s="83"/>
      <c r="AT520" s="83"/>
      <c r="AU520" s="83"/>
      <c r="AV520" s="83"/>
      <c r="AW520" s="83"/>
      <c r="AX520" s="83"/>
      <c r="AY520" s="83"/>
      <c r="AZ520" s="83"/>
      <c r="BA520" s="83"/>
      <c r="BB520" s="83"/>
      <c r="BC520" s="83"/>
      <c r="BD520" s="83"/>
      <c r="BE520" s="83"/>
      <c r="BF520" s="83"/>
      <c r="BG520" s="83"/>
      <c r="BH520" s="83"/>
      <c r="BI520" s="83"/>
      <c r="BJ520" s="83"/>
      <c r="BK520" s="83"/>
      <c r="BL520" s="83"/>
      <c r="BM520" s="83"/>
      <c r="BN520" s="83"/>
      <c r="BO520" s="83"/>
      <c r="BP520" s="83"/>
      <c r="BQ520" s="83"/>
      <c r="BR520" s="83"/>
      <c r="BS520" s="83"/>
      <c r="BT520" s="83"/>
      <c r="BU520" s="83"/>
    </row>
    <row r="521" spans="15:73"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3"/>
      <c r="AH521" s="83"/>
      <c r="AI521" s="83"/>
      <c r="AJ521" s="83"/>
      <c r="AK521" s="83"/>
      <c r="AL521" s="83"/>
      <c r="AM521" s="83"/>
      <c r="AN521" s="83"/>
      <c r="AO521" s="83"/>
      <c r="AP521" s="83"/>
      <c r="AQ521" s="83"/>
      <c r="AR521" s="83"/>
      <c r="AS521" s="83"/>
      <c r="AT521" s="83"/>
      <c r="AU521" s="83"/>
      <c r="AV521" s="83"/>
      <c r="AW521" s="83"/>
      <c r="AX521" s="83"/>
      <c r="AY521" s="83"/>
      <c r="AZ521" s="83"/>
      <c r="BA521" s="83"/>
      <c r="BB521" s="83"/>
      <c r="BC521" s="83"/>
      <c r="BD521" s="83"/>
      <c r="BE521" s="83"/>
      <c r="BF521" s="83"/>
      <c r="BG521" s="83"/>
      <c r="BH521" s="83"/>
      <c r="BI521" s="83"/>
      <c r="BJ521" s="83"/>
      <c r="BK521" s="83"/>
      <c r="BL521" s="83"/>
      <c r="BM521" s="83"/>
      <c r="BN521" s="83"/>
      <c r="BO521" s="83"/>
      <c r="BP521" s="83"/>
      <c r="BQ521" s="83"/>
      <c r="BR521" s="83"/>
      <c r="BS521" s="83"/>
      <c r="BT521" s="83"/>
      <c r="BU521" s="83"/>
    </row>
    <row r="522" spans="15:73"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3"/>
      <c r="AH522" s="83"/>
      <c r="AI522" s="83"/>
      <c r="AJ522" s="83"/>
      <c r="AK522" s="83"/>
      <c r="AL522" s="83"/>
      <c r="AM522" s="83"/>
      <c r="AN522" s="83"/>
      <c r="AO522" s="83"/>
      <c r="AP522" s="83"/>
      <c r="AQ522" s="83"/>
      <c r="AR522" s="83"/>
      <c r="AS522" s="83"/>
      <c r="AT522" s="83"/>
      <c r="AU522" s="83"/>
      <c r="AV522" s="83"/>
      <c r="AW522" s="83"/>
      <c r="AX522" s="83"/>
      <c r="AY522" s="83"/>
      <c r="AZ522" s="83"/>
      <c r="BA522" s="83"/>
      <c r="BB522" s="83"/>
      <c r="BC522" s="83"/>
      <c r="BD522" s="83"/>
      <c r="BE522" s="83"/>
      <c r="BF522" s="83"/>
      <c r="BG522" s="83"/>
      <c r="BH522" s="83"/>
      <c r="BI522" s="83"/>
      <c r="BJ522" s="83"/>
      <c r="BK522" s="83"/>
      <c r="BL522" s="83"/>
      <c r="BM522" s="83"/>
      <c r="BN522" s="83"/>
      <c r="BO522" s="83"/>
      <c r="BP522" s="83"/>
      <c r="BQ522" s="83"/>
      <c r="BR522" s="83"/>
      <c r="BS522" s="83"/>
      <c r="BT522" s="83"/>
      <c r="BU522" s="83"/>
    </row>
    <row r="523" spans="15:73"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3"/>
      <c r="AH523" s="83"/>
      <c r="AI523" s="83"/>
      <c r="AJ523" s="83"/>
      <c r="AK523" s="83"/>
      <c r="AL523" s="83"/>
      <c r="AM523" s="83"/>
      <c r="AN523" s="83"/>
      <c r="AO523" s="83"/>
      <c r="AP523" s="83"/>
      <c r="AQ523" s="83"/>
      <c r="AR523" s="83"/>
      <c r="AS523" s="83"/>
      <c r="AT523" s="83"/>
      <c r="AU523" s="83"/>
      <c r="AV523" s="83"/>
      <c r="AW523" s="83"/>
      <c r="AX523" s="83"/>
      <c r="AY523" s="83"/>
      <c r="AZ523" s="83"/>
      <c r="BA523" s="83"/>
      <c r="BB523" s="83"/>
      <c r="BC523" s="83"/>
      <c r="BD523" s="83"/>
      <c r="BE523" s="83"/>
      <c r="BF523" s="83"/>
      <c r="BG523" s="83"/>
      <c r="BH523" s="83"/>
      <c r="BI523" s="83"/>
      <c r="BJ523" s="83"/>
      <c r="BK523" s="83"/>
      <c r="BL523" s="83"/>
      <c r="BM523" s="83"/>
      <c r="BN523" s="83"/>
      <c r="BO523" s="83"/>
      <c r="BP523" s="83"/>
      <c r="BQ523" s="83"/>
      <c r="BR523" s="83"/>
      <c r="BS523" s="83"/>
      <c r="BT523" s="83"/>
      <c r="BU523" s="83"/>
    </row>
    <row r="524" spans="15:73"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3"/>
      <c r="AH524" s="83"/>
      <c r="AI524" s="83"/>
      <c r="AJ524" s="83"/>
      <c r="AK524" s="83"/>
      <c r="AL524" s="83"/>
      <c r="AM524" s="83"/>
      <c r="AN524" s="83"/>
      <c r="AO524" s="83"/>
      <c r="AP524" s="83"/>
      <c r="AQ524" s="83"/>
      <c r="AR524" s="83"/>
      <c r="AS524" s="83"/>
      <c r="AT524" s="83"/>
      <c r="AU524" s="83"/>
      <c r="AV524" s="83"/>
      <c r="AW524" s="83"/>
      <c r="AX524" s="83"/>
      <c r="AY524" s="83"/>
      <c r="AZ524" s="83"/>
      <c r="BA524" s="83"/>
      <c r="BB524" s="83"/>
      <c r="BC524" s="83"/>
      <c r="BD524" s="83"/>
      <c r="BE524" s="83"/>
      <c r="BF524" s="83"/>
      <c r="BG524" s="83"/>
      <c r="BH524" s="83"/>
      <c r="BI524" s="83"/>
      <c r="BJ524" s="83"/>
      <c r="BK524" s="83"/>
      <c r="BL524" s="83"/>
      <c r="BM524" s="83"/>
      <c r="BN524" s="83"/>
      <c r="BO524" s="83"/>
      <c r="BP524" s="83"/>
      <c r="BQ524" s="83"/>
      <c r="BR524" s="83"/>
      <c r="BS524" s="83"/>
      <c r="BT524" s="83"/>
      <c r="BU524" s="83"/>
    </row>
    <row r="525" spans="15:73"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3"/>
      <c r="AH525" s="83"/>
      <c r="AI525" s="83"/>
      <c r="AJ525" s="83"/>
      <c r="AK525" s="83"/>
      <c r="AL525" s="83"/>
      <c r="AM525" s="83"/>
      <c r="AN525" s="83"/>
      <c r="AO525" s="83"/>
      <c r="AP525" s="83"/>
      <c r="AQ525" s="83"/>
      <c r="AR525" s="83"/>
      <c r="AS525" s="83"/>
      <c r="AT525" s="83"/>
      <c r="AU525" s="83"/>
      <c r="AV525" s="83"/>
      <c r="AW525" s="83"/>
      <c r="AX525" s="83"/>
      <c r="AY525" s="83"/>
      <c r="AZ525" s="83"/>
      <c r="BA525" s="83"/>
      <c r="BB525" s="83"/>
      <c r="BC525" s="83"/>
      <c r="BD525" s="83"/>
      <c r="BE525" s="83"/>
      <c r="BF525" s="83"/>
      <c r="BG525" s="83"/>
      <c r="BH525" s="83"/>
      <c r="BI525" s="83"/>
      <c r="BJ525" s="83"/>
      <c r="BK525" s="83"/>
      <c r="BL525" s="83"/>
      <c r="BM525" s="83"/>
      <c r="BN525" s="83"/>
      <c r="BO525" s="83"/>
      <c r="BP525" s="83"/>
      <c r="BQ525" s="83"/>
      <c r="BR525" s="83"/>
      <c r="BS525" s="83"/>
      <c r="BT525" s="83"/>
      <c r="BU525" s="83"/>
    </row>
    <row r="526" spans="15:73"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3"/>
      <c r="AH526" s="83"/>
      <c r="AI526" s="83"/>
      <c r="AJ526" s="83"/>
      <c r="AK526" s="83"/>
      <c r="AL526" s="83"/>
      <c r="AM526" s="83"/>
      <c r="AN526" s="83"/>
      <c r="AO526" s="83"/>
      <c r="AP526" s="83"/>
      <c r="AQ526" s="83"/>
      <c r="AR526" s="83"/>
      <c r="AS526" s="83"/>
      <c r="AT526" s="83"/>
      <c r="AU526" s="83"/>
      <c r="AV526" s="83"/>
      <c r="AW526" s="83"/>
      <c r="AX526" s="83"/>
      <c r="AY526" s="83"/>
      <c r="AZ526" s="83"/>
      <c r="BA526" s="83"/>
      <c r="BB526" s="83"/>
      <c r="BC526" s="83"/>
      <c r="BD526" s="83"/>
      <c r="BE526" s="83"/>
      <c r="BF526" s="83"/>
      <c r="BG526" s="83"/>
      <c r="BH526" s="83"/>
      <c r="BI526" s="83"/>
      <c r="BJ526" s="83"/>
      <c r="BK526" s="83"/>
      <c r="BL526" s="83"/>
      <c r="BM526" s="83"/>
      <c r="BN526" s="83"/>
      <c r="BO526" s="83"/>
      <c r="BP526" s="83"/>
      <c r="BQ526" s="83"/>
      <c r="BR526" s="83"/>
      <c r="BS526" s="83"/>
      <c r="BT526" s="83"/>
      <c r="BU526" s="83"/>
    </row>
    <row r="527" spans="15:73"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3"/>
      <c r="AH527" s="83"/>
      <c r="AI527" s="83"/>
      <c r="AJ527" s="83"/>
      <c r="AK527" s="83"/>
      <c r="AL527" s="83"/>
      <c r="AM527" s="83"/>
      <c r="AN527" s="83"/>
      <c r="AO527" s="83"/>
      <c r="AP527" s="83"/>
      <c r="AQ527" s="83"/>
      <c r="AR527" s="83"/>
      <c r="AS527" s="83"/>
      <c r="AT527" s="83"/>
      <c r="AU527" s="83"/>
      <c r="AV527" s="83"/>
      <c r="AW527" s="83"/>
      <c r="AX527" s="83"/>
      <c r="AY527" s="83"/>
      <c r="AZ527" s="83"/>
      <c r="BA527" s="83"/>
      <c r="BB527" s="83"/>
      <c r="BC527" s="83"/>
      <c r="BD527" s="83"/>
      <c r="BE527" s="83"/>
      <c r="BF527" s="83"/>
      <c r="BG527" s="83"/>
      <c r="BH527" s="83"/>
      <c r="BI527" s="83"/>
      <c r="BJ527" s="83"/>
      <c r="BK527" s="83"/>
      <c r="BL527" s="83"/>
      <c r="BM527" s="83"/>
      <c r="BN527" s="83"/>
      <c r="BO527" s="83"/>
      <c r="BP527" s="83"/>
      <c r="BQ527" s="83"/>
      <c r="BR527" s="83"/>
      <c r="BS527" s="83"/>
      <c r="BT527" s="83"/>
      <c r="BU527" s="83"/>
    </row>
    <row r="528" spans="15:73"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3"/>
      <c r="AH528" s="83"/>
      <c r="AI528" s="83"/>
      <c r="AJ528" s="83"/>
      <c r="AK528" s="83"/>
      <c r="AL528" s="83"/>
      <c r="AM528" s="83"/>
      <c r="AN528" s="83"/>
      <c r="AO528" s="83"/>
      <c r="AP528" s="83"/>
      <c r="AQ528" s="83"/>
      <c r="AR528" s="83"/>
      <c r="AS528" s="83"/>
      <c r="AT528" s="83"/>
      <c r="AU528" s="83"/>
      <c r="AV528" s="83"/>
      <c r="AW528" s="83"/>
      <c r="AX528" s="83"/>
      <c r="AY528" s="83"/>
      <c r="AZ528" s="83"/>
      <c r="BA528" s="83"/>
      <c r="BB528" s="83"/>
      <c r="BC528" s="83"/>
      <c r="BD528" s="83"/>
      <c r="BE528" s="83"/>
      <c r="BF528" s="83"/>
      <c r="BG528" s="83"/>
      <c r="BH528" s="83"/>
      <c r="BI528" s="83"/>
      <c r="BJ528" s="83"/>
      <c r="BK528" s="83"/>
      <c r="BL528" s="83"/>
      <c r="BM528" s="83"/>
      <c r="BN528" s="83"/>
      <c r="BO528" s="83"/>
      <c r="BP528" s="83"/>
      <c r="BQ528" s="83"/>
      <c r="BR528" s="83"/>
      <c r="BS528" s="83"/>
      <c r="BT528" s="83"/>
      <c r="BU528" s="83"/>
    </row>
    <row r="529" spans="15:73"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3"/>
      <c r="AH529" s="83"/>
      <c r="AI529" s="83"/>
      <c r="AJ529" s="83"/>
      <c r="AK529" s="83"/>
      <c r="AL529" s="83"/>
      <c r="AM529" s="83"/>
      <c r="AN529" s="83"/>
      <c r="AO529" s="83"/>
      <c r="AP529" s="83"/>
      <c r="AQ529" s="83"/>
      <c r="AR529" s="83"/>
      <c r="AS529" s="83"/>
      <c r="AT529" s="83"/>
      <c r="AU529" s="83"/>
      <c r="AV529" s="83"/>
      <c r="AW529" s="83"/>
      <c r="AX529" s="83"/>
      <c r="AY529" s="83"/>
      <c r="AZ529" s="83"/>
      <c r="BA529" s="83"/>
      <c r="BB529" s="83"/>
      <c r="BC529" s="83"/>
      <c r="BD529" s="83"/>
      <c r="BE529" s="83"/>
      <c r="BF529" s="83"/>
      <c r="BG529" s="83"/>
      <c r="BH529" s="83"/>
      <c r="BI529" s="83"/>
      <c r="BJ529" s="83"/>
      <c r="BK529" s="83"/>
      <c r="BL529" s="83"/>
      <c r="BM529" s="83"/>
      <c r="BN529" s="83"/>
      <c r="BO529" s="83"/>
      <c r="BP529" s="83"/>
      <c r="BQ529" s="83"/>
      <c r="BR529" s="83"/>
      <c r="BS529" s="83"/>
      <c r="BT529" s="83"/>
      <c r="BU529" s="83"/>
    </row>
    <row r="530" spans="15:73"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3"/>
      <c r="AH530" s="83"/>
      <c r="AI530" s="83"/>
      <c r="AJ530" s="83"/>
      <c r="AK530" s="83"/>
      <c r="AL530" s="83"/>
      <c r="AM530" s="83"/>
      <c r="AN530" s="83"/>
      <c r="AO530" s="83"/>
      <c r="AP530" s="83"/>
      <c r="AQ530" s="83"/>
      <c r="AR530" s="83"/>
      <c r="AS530" s="83"/>
      <c r="AT530" s="83"/>
      <c r="AU530" s="83"/>
      <c r="AV530" s="83"/>
      <c r="AW530" s="83"/>
      <c r="AX530" s="83"/>
      <c r="AY530" s="83"/>
      <c r="AZ530" s="83"/>
      <c r="BA530" s="83"/>
      <c r="BB530" s="83"/>
      <c r="BC530" s="83"/>
      <c r="BD530" s="83"/>
      <c r="BE530" s="83"/>
      <c r="BF530" s="83"/>
      <c r="BG530" s="83"/>
      <c r="BH530" s="83"/>
      <c r="BI530" s="83"/>
      <c r="BJ530" s="83"/>
      <c r="BK530" s="83"/>
      <c r="BL530" s="83"/>
      <c r="BM530" s="83"/>
      <c r="BN530" s="83"/>
      <c r="BO530" s="83"/>
      <c r="BP530" s="83"/>
      <c r="BQ530" s="83"/>
      <c r="BR530" s="83"/>
      <c r="BS530" s="83"/>
      <c r="BT530" s="83"/>
      <c r="BU530" s="83"/>
    </row>
    <row r="531" spans="15:73"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3"/>
      <c r="AH531" s="83"/>
      <c r="AI531" s="83"/>
      <c r="AJ531" s="83"/>
      <c r="AK531" s="83"/>
      <c r="AL531" s="83"/>
      <c r="AM531" s="83"/>
      <c r="AN531" s="83"/>
      <c r="AO531" s="83"/>
      <c r="AP531" s="83"/>
      <c r="AQ531" s="83"/>
      <c r="AR531" s="83"/>
      <c r="AS531" s="83"/>
      <c r="AT531" s="83"/>
      <c r="AU531" s="83"/>
      <c r="AV531" s="83"/>
      <c r="AW531" s="83"/>
      <c r="AX531" s="83"/>
      <c r="AY531" s="83"/>
      <c r="AZ531" s="83"/>
      <c r="BA531" s="83"/>
      <c r="BB531" s="83"/>
      <c r="BC531" s="83"/>
      <c r="BD531" s="83"/>
      <c r="BE531" s="83"/>
      <c r="BF531" s="83"/>
      <c r="BG531" s="83"/>
      <c r="BH531" s="83"/>
      <c r="BI531" s="83"/>
      <c r="BJ531" s="83"/>
      <c r="BK531" s="83"/>
      <c r="BL531" s="83"/>
      <c r="BM531" s="83"/>
      <c r="BN531" s="83"/>
      <c r="BO531" s="83"/>
      <c r="BP531" s="83"/>
      <c r="BQ531" s="83"/>
      <c r="BR531" s="83"/>
      <c r="BS531" s="83"/>
      <c r="BT531" s="83"/>
      <c r="BU531" s="83"/>
    </row>
    <row r="532" spans="15:73"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3"/>
      <c r="AH532" s="83"/>
      <c r="AI532" s="83"/>
      <c r="AJ532" s="83"/>
      <c r="AK532" s="83"/>
      <c r="AL532" s="83"/>
      <c r="AM532" s="83"/>
      <c r="AN532" s="83"/>
      <c r="AO532" s="83"/>
      <c r="AP532" s="83"/>
      <c r="AQ532" s="83"/>
      <c r="AR532" s="83"/>
      <c r="AS532" s="83"/>
      <c r="AT532" s="83"/>
      <c r="AU532" s="83"/>
      <c r="AV532" s="83"/>
      <c r="AW532" s="83"/>
      <c r="AX532" s="83"/>
      <c r="AY532" s="83"/>
      <c r="AZ532" s="83"/>
      <c r="BA532" s="83"/>
      <c r="BB532" s="83"/>
      <c r="BC532" s="83"/>
      <c r="BD532" s="83"/>
      <c r="BE532" s="83"/>
      <c r="BF532" s="83"/>
      <c r="BG532" s="83"/>
      <c r="BH532" s="83"/>
      <c r="BI532" s="83"/>
      <c r="BJ532" s="83"/>
      <c r="BK532" s="83"/>
      <c r="BL532" s="83"/>
      <c r="BM532" s="83"/>
      <c r="BN532" s="83"/>
      <c r="BO532" s="83"/>
      <c r="BP532" s="83"/>
      <c r="BQ532" s="83"/>
      <c r="BR532" s="83"/>
      <c r="BS532" s="83"/>
      <c r="BT532" s="83"/>
      <c r="BU532" s="83"/>
    </row>
    <row r="533" spans="15:73"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3"/>
      <c r="AH533" s="83"/>
      <c r="AI533" s="83"/>
      <c r="AJ533" s="83"/>
      <c r="AK533" s="83"/>
      <c r="AL533" s="83"/>
      <c r="AM533" s="83"/>
      <c r="AN533" s="83"/>
      <c r="AO533" s="83"/>
      <c r="AP533" s="83"/>
      <c r="AQ533" s="83"/>
      <c r="AR533" s="83"/>
      <c r="AS533" s="83"/>
      <c r="AT533" s="83"/>
      <c r="AU533" s="83"/>
      <c r="AV533" s="83"/>
      <c r="AW533" s="83"/>
      <c r="AX533" s="83"/>
      <c r="AY533" s="83"/>
      <c r="AZ533" s="83"/>
      <c r="BA533" s="83"/>
      <c r="BB533" s="83"/>
      <c r="BC533" s="83"/>
      <c r="BD533" s="83"/>
      <c r="BE533" s="83"/>
      <c r="BF533" s="83"/>
      <c r="BG533" s="83"/>
      <c r="BH533" s="83"/>
      <c r="BI533" s="83"/>
      <c r="BJ533" s="83"/>
      <c r="BK533" s="83"/>
      <c r="BL533" s="83"/>
      <c r="BM533" s="83"/>
      <c r="BN533" s="83"/>
      <c r="BO533" s="83"/>
      <c r="BP533" s="83"/>
      <c r="BQ533" s="83"/>
      <c r="BR533" s="83"/>
      <c r="BS533" s="83"/>
      <c r="BT533" s="83"/>
      <c r="BU533" s="83"/>
    </row>
    <row r="534" spans="15:73"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3"/>
      <c r="AH534" s="83"/>
      <c r="AI534" s="83"/>
      <c r="AJ534" s="83"/>
      <c r="AK534" s="83"/>
      <c r="AL534" s="83"/>
      <c r="AM534" s="83"/>
      <c r="AN534" s="83"/>
      <c r="AO534" s="83"/>
      <c r="AP534" s="83"/>
      <c r="AQ534" s="83"/>
      <c r="AR534" s="83"/>
      <c r="AS534" s="83"/>
      <c r="AT534" s="83"/>
      <c r="AU534" s="83"/>
      <c r="AV534" s="83"/>
      <c r="AW534" s="83"/>
      <c r="AX534" s="83"/>
      <c r="AY534" s="83"/>
      <c r="AZ534" s="83"/>
      <c r="BA534" s="83"/>
      <c r="BB534" s="83"/>
      <c r="BC534" s="83"/>
      <c r="BD534" s="83"/>
      <c r="BE534" s="83"/>
      <c r="BF534" s="83"/>
      <c r="BG534" s="83"/>
      <c r="BH534" s="83"/>
      <c r="BI534" s="83"/>
      <c r="BJ534" s="83"/>
      <c r="BK534" s="83"/>
      <c r="BL534" s="83"/>
      <c r="BM534" s="83"/>
      <c r="BN534" s="83"/>
      <c r="BO534" s="83"/>
      <c r="BP534" s="83"/>
      <c r="BQ534" s="83"/>
      <c r="BR534" s="83"/>
      <c r="BS534" s="83"/>
      <c r="BT534" s="83"/>
      <c r="BU534" s="83"/>
    </row>
    <row r="535" spans="15:73"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3"/>
      <c r="AH535" s="83"/>
      <c r="AI535" s="83"/>
      <c r="AJ535" s="83"/>
      <c r="AK535" s="83"/>
      <c r="AL535" s="83"/>
      <c r="AM535" s="83"/>
      <c r="AN535" s="83"/>
      <c r="AO535" s="83"/>
      <c r="AP535" s="83"/>
      <c r="AQ535" s="83"/>
      <c r="AR535" s="83"/>
      <c r="AS535" s="83"/>
      <c r="AT535" s="83"/>
      <c r="AU535" s="83"/>
      <c r="AV535" s="83"/>
      <c r="AW535" s="83"/>
      <c r="AX535" s="83"/>
      <c r="AY535" s="83"/>
      <c r="AZ535" s="83"/>
      <c r="BA535" s="83"/>
      <c r="BB535" s="83"/>
      <c r="BC535" s="83"/>
      <c r="BD535" s="83"/>
      <c r="BE535" s="83"/>
      <c r="BF535" s="83"/>
      <c r="BG535" s="83"/>
      <c r="BH535" s="83"/>
      <c r="BI535" s="83"/>
      <c r="BJ535" s="83"/>
      <c r="BK535" s="83"/>
      <c r="BL535" s="83"/>
      <c r="BM535" s="83"/>
      <c r="BN535" s="83"/>
      <c r="BO535" s="83"/>
      <c r="BP535" s="83"/>
      <c r="BQ535" s="83"/>
      <c r="BR535" s="83"/>
      <c r="BS535" s="83"/>
      <c r="BT535" s="83"/>
      <c r="BU535" s="83"/>
    </row>
    <row r="536" spans="15:73"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3"/>
      <c r="AH536" s="83"/>
      <c r="AI536" s="83"/>
      <c r="AJ536" s="83"/>
      <c r="AK536" s="83"/>
      <c r="AL536" s="83"/>
      <c r="AM536" s="83"/>
      <c r="AN536" s="83"/>
      <c r="AO536" s="83"/>
      <c r="AP536" s="83"/>
      <c r="AQ536" s="83"/>
      <c r="AR536" s="83"/>
      <c r="AS536" s="83"/>
      <c r="AT536" s="83"/>
      <c r="AU536" s="83"/>
      <c r="AV536" s="83"/>
      <c r="AW536" s="83"/>
      <c r="AX536" s="83"/>
      <c r="AY536" s="83"/>
      <c r="AZ536" s="83"/>
      <c r="BA536" s="83"/>
      <c r="BB536" s="83"/>
      <c r="BC536" s="83"/>
      <c r="BD536" s="83"/>
      <c r="BE536" s="83"/>
      <c r="BF536" s="83"/>
      <c r="BG536" s="83"/>
      <c r="BH536" s="83"/>
      <c r="BI536" s="83"/>
      <c r="BJ536" s="83"/>
      <c r="BK536" s="83"/>
      <c r="BL536" s="83"/>
      <c r="BM536" s="83"/>
      <c r="BN536" s="83"/>
      <c r="BO536" s="83"/>
      <c r="BP536" s="83"/>
      <c r="BQ536" s="83"/>
      <c r="BR536" s="83"/>
      <c r="BS536" s="83"/>
      <c r="BT536" s="83"/>
      <c r="BU536" s="83"/>
    </row>
    <row r="537" spans="15:73"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3"/>
      <c r="AH537" s="83"/>
      <c r="AI537" s="83"/>
      <c r="AJ537" s="83"/>
      <c r="AK537" s="83"/>
      <c r="AL537" s="83"/>
      <c r="AM537" s="83"/>
      <c r="AN537" s="83"/>
      <c r="AO537" s="83"/>
      <c r="AP537" s="83"/>
      <c r="AQ537" s="83"/>
      <c r="AR537" s="83"/>
      <c r="AS537" s="83"/>
      <c r="AT537" s="83"/>
      <c r="AU537" s="83"/>
      <c r="AV537" s="83"/>
      <c r="AW537" s="83"/>
      <c r="AX537" s="83"/>
      <c r="AY537" s="83"/>
      <c r="AZ537" s="83"/>
      <c r="BA537" s="83"/>
      <c r="BB537" s="83"/>
      <c r="BC537" s="83"/>
      <c r="BD537" s="83"/>
      <c r="BE537" s="83"/>
      <c r="BF537" s="83"/>
      <c r="BG537" s="83"/>
      <c r="BH537" s="83"/>
      <c r="BI537" s="83"/>
      <c r="BJ537" s="83"/>
      <c r="BK537" s="83"/>
      <c r="BL537" s="83"/>
      <c r="BM537" s="83"/>
      <c r="BN537" s="83"/>
      <c r="BO537" s="83"/>
      <c r="BP537" s="83"/>
      <c r="BQ537" s="83"/>
      <c r="BR537" s="83"/>
      <c r="BS537" s="83"/>
      <c r="BT537" s="83"/>
      <c r="BU537" s="83"/>
    </row>
    <row r="538" spans="15:73"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3"/>
      <c r="AH538" s="83"/>
      <c r="AI538" s="83"/>
      <c r="AJ538" s="83"/>
      <c r="AK538" s="83"/>
      <c r="AL538" s="83"/>
      <c r="AM538" s="83"/>
      <c r="AN538" s="83"/>
      <c r="AO538" s="83"/>
      <c r="AP538" s="83"/>
      <c r="AQ538" s="83"/>
      <c r="AR538" s="83"/>
      <c r="AS538" s="83"/>
      <c r="AT538" s="83"/>
      <c r="AU538" s="83"/>
      <c r="AV538" s="83"/>
      <c r="AW538" s="83"/>
      <c r="AX538" s="83"/>
      <c r="AY538" s="83"/>
      <c r="AZ538" s="83"/>
      <c r="BA538" s="83"/>
      <c r="BB538" s="83"/>
      <c r="BC538" s="83"/>
      <c r="BD538" s="83"/>
      <c r="BE538" s="83"/>
      <c r="BF538" s="83"/>
      <c r="BG538" s="83"/>
      <c r="BH538" s="83"/>
      <c r="BI538" s="83"/>
      <c r="BJ538" s="83"/>
      <c r="BK538" s="83"/>
      <c r="BL538" s="83"/>
      <c r="BM538" s="83"/>
      <c r="BN538" s="83"/>
      <c r="BO538" s="83"/>
      <c r="BP538" s="83"/>
      <c r="BQ538" s="83"/>
      <c r="BR538" s="83"/>
      <c r="BS538" s="83"/>
      <c r="BT538" s="83"/>
      <c r="BU538" s="83"/>
    </row>
    <row r="539" spans="15:73"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3"/>
      <c r="AH539" s="83"/>
      <c r="AI539" s="83"/>
      <c r="AJ539" s="83"/>
      <c r="AK539" s="83"/>
      <c r="AL539" s="83"/>
      <c r="AM539" s="83"/>
      <c r="AN539" s="83"/>
      <c r="AO539" s="83"/>
      <c r="AP539" s="83"/>
      <c r="AQ539" s="83"/>
      <c r="AR539" s="83"/>
      <c r="AS539" s="83"/>
      <c r="AT539" s="83"/>
      <c r="AU539" s="83"/>
      <c r="AV539" s="83"/>
      <c r="AW539" s="83"/>
      <c r="AX539" s="83"/>
      <c r="AY539" s="83"/>
      <c r="AZ539" s="83"/>
      <c r="BA539" s="83"/>
      <c r="BB539" s="83"/>
      <c r="BC539" s="83"/>
      <c r="BD539" s="83"/>
      <c r="BE539" s="83"/>
      <c r="BF539" s="83"/>
      <c r="BG539" s="83"/>
      <c r="BH539" s="83"/>
      <c r="BI539" s="83"/>
      <c r="BJ539" s="83"/>
      <c r="BK539" s="83"/>
      <c r="BL539" s="83"/>
      <c r="BM539" s="83"/>
      <c r="BN539" s="83"/>
      <c r="BO539" s="83"/>
      <c r="BP539" s="83"/>
      <c r="BQ539" s="83"/>
      <c r="BR539" s="83"/>
      <c r="BS539" s="83"/>
      <c r="BT539" s="83"/>
      <c r="BU539" s="83"/>
    </row>
    <row r="540" spans="15:73"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3"/>
      <c r="AH540" s="83"/>
      <c r="AI540" s="83"/>
      <c r="AJ540" s="83"/>
      <c r="AK540" s="83"/>
      <c r="AL540" s="83"/>
      <c r="AM540" s="83"/>
      <c r="AN540" s="83"/>
      <c r="AO540" s="83"/>
      <c r="AP540" s="83"/>
      <c r="AQ540" s="83"/>
      <c r="AR540" s="83"/>
      <c r="AS540" s="83"/>
      <c r="AT540" s="83"/>
      <c r="AU540" s="83"/>
      <c r="AV540" s="83"/>
      <c r="AW540" s="83"/>
      <c r="AX540" s="83"/>
      <c r="AY540" s="83"/>
      <c r="AZ540" s="83"/>
      <c r="BA540" s="83"/>
      <c r="BB540" s="83"/>
      <c r="BC540" s="83"/>
      <c r="BD540" s="83"/>
      <c r="BE540" s="83"/>
      <c r="BF540" s="83"/>
      <c r="BG540" s="83"/>
      <c r="BH540" s="83"/>
      <c r="BI540" s="83"/>
      <c r="BJ540" s="83"/>
      <c r="BK540" s="83"/>
      <c r="BL540" s="83"/>
      <c r="BM540" s="83"/>
      <c r="BN540" s="83"/>
      <c r="BO540" s="83"/>
      <c r="BP540" s="83"/>
      <c r="BQ540" s="83"/>
      <c r="BR540" s="83"/>
      <c r="BS540" s="83"/>
      <c r="BT540" s="83"/>
      <c r="BU540" s="83"/>
    </row>
    <row r="541" spans="15:73"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3"/>
      <c r="AH541" s="83"/>
      <c r="AI541" s="83"/>
      <c r="AJ541" s="83"/>
      <c r="AK541" s="83"/>
      <c r="AL541" s="83"/>
      <c r="AM541" s="83"/>
      <c r="AN541" s="83"/>
      <c r="AO541" s="83"/>
      <c r="AP541" s="83"/>
      <c r="AQ541" s="83"/>
      <c r="AR541" s="83"/>
      <c r="AS541" s="83"/>
      <c r="AT541" s="83"/>
      <c r="AU541" s="83"/>
      <c r="AV541" s="83"/>
      <c r="AW541" s="83"/>
      <c r="AX541" s="83"/>
      <c r="AY541" s="83"/>
      <c r="AZ541" s="83"/>
      <c r="BA541" s="83"/>
      <c r="BB541" s="83"/>
      <c r="BC541" s="83"/>
      <c r="BD541" s="83"/>
      <c r="BE541" s="83"/>
      <c r="BF541" s="83"/>
      <c r="BG541" s="83"/>
      <c r="BH541" s="83"/>
      <c r="BI541" s="83"/>
      <c r="BJ541" s="83"/>
      <c r="BK541" s="83"/>
      <c r="BL541" s="83"/>
      <c r="BM541" s="83"/>
      <c r="BN541" s="83"/>
      <c r="BO541" s="83"/>
      <c r="BP541" s="83"/>
      <c r="BQ541" s="83"/>
      <c r="BR541" s="83"/>
      <c r="BS541" s="83"/>
      <c r="BT541" s="83"/>
      <c r="BU541" s="83"/>
    </row>
    <row r="542" spans="15:73"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3"/>
      <c r="AH542" s="83"/>
      <c r="AI542" s="83"/>
      <c r="AJ542" s="83"/>
      <c r="AK542" s="83"/>
      <c r="AL542" s="83"/>
      <c r="AM542" s="83"/>
      <c r="AN542" s="83"/>
      <c r="AO542" s="83"/>
      <c r="AP542" s="83"/>
      <c r="AQ542" s="83"/>
      <c r="AR542" s="83"/>
      <c r="AS542" s="83"/>
      <c r="AT542" s="83"/>
      <c r="AU542" s="83"/>
      <c r="AV542" s="83"/>
      <c r="AW542" s="83"/>
      <c r="AX542" s="83"/>
      <c r="AY542" s="83"/>
      <c r="AZ542" s="83"/>
      <c r="BA542" s="83"/>
      <c r="BB542" s="83"/>
      <c r="BC542" s="83"/>
      <c r="BD542" s="83"/>
      <c r="BE542" s="83"/>
      <c r="BF542" s="83"/>
      <c r="BG542" s="83"/>
      <c r="BH542" s="83"/>
      <c r="BI542" s="83"/>
      <c r="BJ542" s="83"/>
      <c r="BK542" s="83"/>
      <c r="BL542" s="83"/>
      <c r="BM542" s="83"/>
      <c r="BN542" s="83"/>
      <c r="BO542" s="83"/>
      <c r="BP542" s="83"/>
      <c r="BQ542" s="83"/>
      <c r="BR542" s="83"/>
      <c r="BS542" s="83"/>
      <c r="BT542" s="83"/>
      <c r="BU542" s="83"/>
    </row>
    <row r="543" spans="15:73"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3"/>
      <c r="AH543" s="83"/>
      <c r="AI543" s="83"/>
      <c r="AJ543" s="83"/>
      <c r="AK543" s="83"/>
      <c r="AL543" s="83"/>
      <c r="AM543" s="83"/>
      <c r="AN543" s="83"/>
      <c r="AO543" s="83"/>
      <c r="AP543" s="83"/>
      <c r="AQ543" s="83"/>
      <c r="AR543" s="83"/>
      <c r="AS543" s="83"/>
      <c r="AT543" s="83"/>
      <c r="AU543" s="83"/>
      <c r="AV543" s="83"/>
      <c r="AW543" s="83"/>
      <c r="AX543" s="83"/>
      <c r="AY543" s="83"/>
      <c r="AZ543" s="83"/>
      <c r="BA543" s="83"/>
      <c r="BB543" s="83"/>
      <c r="BC543" s="83"/>
      <c r="BD543" s="83"/>
      <c r="BE543" s="83"/>
      <c r="BF543" s="83"/>
      <c r="BG543" s="83"/>
      <c r="BH543" s="83"/>
      <c r="BI543" s="83"/>
      <c r="BJ543" s="83"/>
      <c r="BK543" s="83"/>
      <c r="BL543" s="83"/>
      <c r="BM543" s="83"/>
      <c r="BN543" s="83"/>
      <c r="BO543" s="83"/>
      <c r="BP543" s="83"/>
      <c r="BQ543" s="83"/>
      <c r="BR543" s="83"/>
      <c r="BS543" s="83"/>
      <c r="BT543" s="83"/>
      <c r="BU543" s="83"/>
    </row>
    <row r="544" spans="15:73"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3"/>
      <c r="AH544" s="83"/>
      <c r="AI544" s="83"/>
      <c r="AJ544" s="83"/>
      <c r="AK544" s="83"/>
      <c r="AL544" s="83"/>
      <c r="AM544" s="83"/>
      <c r="AN544" s="83"/>
      <c r="AO544" s="83"/>
      <c r="AP544" s="83"/>
      <c r="AQ544" s="83"/>
      <c r="AR544" s="83"/>
      <c r="AS544" s="83"/>
      <c r="AT544" s="83"/>
      <c r="AU544" s="83"/>
      <c r="AV544" s="83"/>
      <c r="AW544" s="83"/>
      <c r="AX544" s="83"/>
      <c r="AY544" s="83"/>
      <c r="AZ544" s="83"/>
      <c r="BA544" s="83"/>
      <c r="BB544" s="83"/>
      <c r="BC544" s="83"/>
      <c r="BD544" s="83"/>
      <c r="BE544" s="83"/>
      <c r="BF544" s="83"/>
      <c r="BG544" s="83"/>
      <c r="BH544" s="83"/>
      <c r="BI544" s="83"/>
      <c r="BJ544" s="83"/>
      <c r="BK544" s="83"/>
      <c r="BL544" s="83"/>
      <c r="BM544" s="83"/>
      <c r="BN544" s="83"/>
      <c r="BO544" s="83"/>
      <c r="BP544" s="83"/>
      <c r="BQ544" s="83"/>
      <c r="BR544" s="83"/>
      <c r="BS544" s="83"/>
      <c r="BT544" s="83"/>
      <c r="BU544" s="83"/>
    </row>
    <row r="545" spans="15:73"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3"/>
      <c r="AH545" s="83"/>
      <c r="AI545" s="83"/>
      <c r="AJ545" s="83"/>
      <c r="AK545" s="83"/>
      <c r="AL545" s="83"/>
      <c r="AM545" s="83"/>
      <c r="AN545" s="83"/>
      <c r="AO545" s="83"/>
      <c r="AP545" s="83"/>
      <c r="AQ545" s="83"/>
      <c r="AR545" s="83"/>
      <c r="AS545" s="83"/>
      <c r="AT545" s="83"/>
      <c r="AU545" s="83"/>
      <c r="AV545" s="83"/>
      <c r="AW545" s="83"/>
      <c r="AX545" s="83"/>
      <c r="AY545" s="83"/>
      <c r="AZ545" s="83"/>
      <c r="BA545" s="83"/>
      <c r="BB545" s="83"/>
      <c r="BC545" s="83"/>
      <c r="BD545" s="83"/>
      <c r="BE545" s="83"/>
      <c r="BF545" s="83"/>
      <c r="BG545" s="83"/>
      <c r="BH545" s="83"/>
      <c r="BI545" s="83"/>
      <c r="BJ545" s="83"/>
      <c r="BK545" s="83"/>
      <c r="BL545" s="83"/>
      <c r="BM545" s="83"/>
      <c r="BN545" s="83"/>
      <c r="BO545" s="83"/>
      <c r="BP545" s="83"/>
      <c r="BQ545" s="83"/>
      <c r="BR545" s="83"/>
      <c r="BS545" s="83"/>
      <c r="BT545" s="83"/>
      <c r="BU545" s="83"/>
    </row>
    <row r="546" spans="15:73"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3"/>
      <c r="AH546" s="83"/>
      <c r="AI546" s="83"/>
      <c r="AJ546" s="83"/>
      <c r="AK546" s="83"/>
      <c r="AL546" s="83"/>
      <c r="AM546" s="83"/>
      <c r="AN546" s="83"/>
      <c r="AO546" s="83"/>
      <c r="AP546" s="83"/>
      <c r="AQ546" s="83"/>
      <c r="AR546" s="83"/>
      <c r="AS546" s="83"/>
      <c r="AT546" s="83"/>
      <c r="AU546" s="83"/>
      <c r="AV546" s="83"/>
      <c r="AW546" s="83"/>
      <c r="AX546" s="83"/>
      <c r="AY546" s="83"/>
      <c r="AZ546" s="83"/>
      <c r="BA546" s="83"/>
      <c r="BB546" s="83"/>
      <c r="BC546" s="83"/>
      <c r="BD546" s="83"/>
      <c r="BE546" s="83"/>
      <c r="BF546" s="83"/>
      <c r="BG546" s="83"/>
      <c r="BH546" s="83"/>
      <c r="BI546" s="83"/>
      <c r="BJ546" s="83"/>
      <c r="BK546" s="83"/>
      <c r="BL546" s="83"/>
      <c r="BM546" s="83"/>
      <c r="BN546" s="83"/>
      <c r="BO546" s="83"/>
      <c r="BP546" s="83"/>
      <c r="BQ546" s="83"/>
      <c r="BR546" s="83"/>
      <c r="BS546" s="83"/>
      <c r="BT546" s="83"/>
      <c r="BU546" s="83"/>
    </row>
    <row r="547" spans="15:73"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3"/>
      <c r="AH547" s="83"/>
      <c r="AI547" s="83"/>
      <c r="AJ547" s="83"/>
      <c r="AK547" s="83"/>
      <c r="AL547" s="83"/>
      <c r="AM547" s="83"/>
      <c r="AN547" s="83"/>
      <c r="AO547" s="83"/>
      <c r="AP547" s="83"/>
      <c r="AQ547" s="83"/>
      <c r="AR547" s="83"/>
      <c r="AS547" s="83"/>
      <c r="AT547" s="83"/>
      <c r="AU547" s="83"/>
      <c r="AV547" s="83"/>
      <c r="AW547" s="83"/>
      <c r="AX547" s="83"/>
      <c r="AY547" s="83"/>
      <c r="AZ547" s="83"/>
      <c r="BA547" s="83"/>
      <c r="BB547" s="83"/>
      <c r="BC547" s="83"/>
      <c r="BD547" s="83"/>
      <c r="BE547" s="83"/>
      <c r="BF547" s="83"/>
      <c r="BG547" s="83"/>
      <c r="BH547" s="83"/>
      <c r="BI547" s="83"/>
      <c r="BJ547" s="83"/>
      <c r="BK547" s="83"/>
      <c r="BL547" s="83"/>
      <c r="BM547" s="83"/>
      <c r="BN547" s="83"/>
      <c r="BO547" s="83"/>
      <c r="BP547" s="83"/>
      <c r="BQ547" s="83"/>
      <c r="BR547" s="83"/>
      <c r="BS547" s="83"/>
      <c r="BT547" s="83"/>
      <c r="BU547" s="83"/>
    </row>
    <row r="548" spans="15:73"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3"/>
      <c r="AH548" s="83"/>
      <c r="AI548" s="83"/>
      <c r="AJ548" s="83"/>
      <c r="AK548" s="83"/>
      <c r="AL548" s="83"/>
      <c r="AM548" s="83"/>
      <c r="AN548" s="83"/>
      <c r="AO548" s="83"/>
      <c r="AP548" s="83"/>
      <c r="AQ548" s="83"/>
      <c r="AR548" s="83"/>
      <c r="AS548" s="83"/>
      <c r="AT548" s="83"/>
      <c r="AU548" s="83"/>
      <c r="AV548" s="83"/>
      <c r="AW548" s="83"/>
      <c r="AX548" s="83"/>
      <c r="AY548" s="83"/>
      <c r="AZ548" s="83"/>
      <c r="BA548" s="83"/>
      <c r="BB548" s="83"/>
      <c r="BC548" s="83"/>
      <c r="BD548" s="83"/>
      <c r="BE548" s="83"/>
      <c r="BF548" s="83"/>
      <c r="BG548" s="83"/>
      <c r="BH548" s="83"/>
      <c r="BI548" s="83"/>
      <c r="BJ548" s="83"/>
      <c r="BK548" s="83"/>
      <c r="BL548" s="83"/>
      <c r="BM548" s="83"/>
      <c r="BN548" s="83"/>
      <c r="BO548" s="83"/>
      <c r="BP548" s="83"/>
      <c r="BQ548" s="83"/>
      <c r="BR548" s="83"/>
      <c r="BS548" s="83"/>
      <c r="BT548" s="83"/>
      <c r="BU548" s="83"/>
    </row>
    <row r="549" spans="15:73"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3"/>
      <c r="AH549" s="83"/>
      <c r="AI549" s="83"/>
      <c r="AJ549" s="83"/>
      <c r="AK549" s="83"/>
      <c r="AL549" s="83"/>
      <c r="AM549" s="83"/>
      <c r="AN549" s="83"/>
      <c r="AO549" s="83"/>
      <c r="AP549" s="83"/>
      <c r="AQ549" s="83"/>
      <c r="AR549" s="83"/>
      <c r="AS549" s="83"/>
      <c r="AT549" s="83"/>
      <c r="AU549" s="83"/>
      <c r="AV549" s="83"/>
      <c r="AW549" s="83"/>
      <c r="AX549" s="83"/>
      <c r="AY549" s="83"/>
      <c r="AZ549" s="83"/>
      <c r="BA549" s="83"/>
      <c r="BB549" s="83"/>
      <c r="BC549" s="83"/>
      <c r="BD549" s="83"/>
      <c r="BE549" s="83"/>
      <c r="BF549" s="83"/>
      <c r="BG549" s="83"/>
      <c r="BH549" s="83"/>
      <c r="BI549" s="83"/>
      <c r="BJ549" s="83"/>
      <c r="BK549" s="83"/>
      <c r="BL549" s="83"/>
      <c r="BM549" s="83"/>
      <c r="BN549" s="83"/>
      <c r="BO549" s="83"/>
      <c r="BP549" s="83"/>
      <c r="BQ549" s="83"/>
      <c r="BR549" s="83"/>
      <c r="BS549" s="83"/>
      <c r="BT549" s="83"/>
      <c r="BU549" s="83"/>
    </row>
    <row r="550" spans="15:73"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3"/>
      <c r="AH550" s="83"/>
      <c r="AI550" s="83"/>
      <c r="AJ550" s="83"/>
      <c r="AK550" s="83"/>
      <c r="AL550" s="83"/>
      <c r="AM550" s="83"/>
      <c r="AN550" s="83"/>
      <c r="AO550" s="83"/>
      <c r="AP550" s="83"/>
      <c r="AQ550" s="83"/>
      <c r="AR550" s="83"/>
      <c r="AS550" s="83"/>
      <c r="AT550" s="83"/>
      <c r="AU550" s="83"/>
      <c r="AV550" s="83"/>
      <c r="AW550" s="83"/>
      <c r="AX550" s="83"/>
      <c r="AY550" s="83"/>
      <c r="AZ550" s="83"/>
      <c r="BA550" s="83"/>
      <c r="BB550" s="83"/>
      <c r="BC550" s="83"/>
      <c r="BD550" s="83"/>
      <c r="BE550" s="83"/>
      <c r="BF550" s="83"/>
      <c r="BG550" s="83"/>
      <c r="BH550" s="83"/>
      <c r="BI550" s="83"/>
      <c r="BJ550" s="83"/>
      <c r="BK550" s="83"/>
      <c r="BL550" s="83"/>
      <c r="BM550" s="83"/>
      <c r="BN550" s="83"/>
      <c r="BO550" s="83"/>
      <c r="BP550" s="83"/>
      <c r="BQ550" s="83"/>
      <c r="BR550" s="83"/>
      <c r="BS550" s="83"/>
      <c r="BT550" s="83"/>
      <c r="BU550" s="83"/>
    </row>
    <row r="551" spans="15:73"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3"/>
      <c r="AH551" s="83"/>
      <c r="AI551" s="83"/>
      <c r="AJ551" s="83"/>
      <c r="AK551" s="83"/>
      <c r="AL551" s="83"/>
      <c r="AM551" s="83"/>
      <c r="AN551" s="83"/>
      <c r="AO551" s="83"/>
      <c r="AP551" s="83"/>
      <c r="AQ551" s="83"/>
      <c r="AR551" s="83"/>
      <c r="AS551" s="83"/>
      <c r="AT551" s="83"/>
      <c r="AU551" s="83"/>
      <c r="AV551" s="83"/>
      <c r="AW551" s="83"/>
      <c r="AX551" s="83"/>
      <c r="AY551" s="83"/>
      <c r="AZ551" s="83"/>
      <c r="BA551" s="83"/>
      <c r="BB551" s="83"/>
      <c r="BC551" s="83"/>
      <c r="BD551" s="83"/>
      <c r="BE551" s="83"/>
      <c r="BF551" s="83"/>
      <c r="BG551" s="83"/>
      <c r="BH551" s="83"/>
      <c r="BI551" s="83"/>
      <c r="BJ551" s="83"/>
      <c r="BK551" s="83"/>
      <c r="BL551" s="83"/>
      <c r="BM551" s="83"/>
      <c r="BN551" s="83"/>
      <c r="BO551" s="83"/>
      <c r="BP551" s="83"/>
      <c r="BQ551" s="83"/>
      <c r="BR551" s="83"/>
      <c r="BS551" s="83"/>
      <c r="BT551" s="83"/>
      <c r="BU551" s="83"/>
    </row>
  </sheetData>
  <dataConsolidate link="1"/>
  <phoneticPr fontId="57" type="noConversion"/>
  <pageMargins left="0.75" right="0.75" top="1" bottom="1" header="0.5" footer="0.5"/>
  <pageSetup scale="4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61"/>
  <sheetViews>
    <sheetView showGridLines="0" zoomScale="70" zoomScaleNormal="70" workbookViewId="0"/>
  </sheetViews>
  <sheetFormatPr defaultColWidth="9.28515625" defaultRowHeight="12.75"/>
  <cols>
    <col min="1" max="1" width="16" customWidth="1"/>
    <col min="2" max="2" width="12.42578125" bestFit="1" customWidth="1"/>
    <col min="3" max="3" width="14.7109375" bestFit="1" customWidth="1"/>
    <col min="4" max="4" width="12" bestFit="1" customWidth="1"/>
    <col min="5" max="5" width="13.42578125" bestFit="1" customWidth="1"/>
    <col min="6" max="6" width="6.85546875" customWidth="1"/>
    <col min="7" max="7" width="14.42578125" bestFit="1" customWidth="1"/>
    <col min="8" max="8" width="15.42578125" bestFit="1" customWidth="1"/>
    <col min="9" max="9" width="13.42578125" bestFit="1" customWidth="1"/>
    <col min="10" max="10" width="10.5703125" customWidth="1"/>
    <col min="11" max="11" width="13.5703125" customWidth="1"/>
    <col min="12" max="12" width="11.5703125" bestFit="1" customWidth="1"/>
    <col min="13" max="13" width="14.7109375" customWidth="1"/>
    <col min="14" max="14" width="10.7109375" customWidth="1"/>
  </cols>
  <sheetData>
    <row r="1" spans="1:16" ht="14.25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6" ht="14.25">
      <c r="A2" s="15"/>
      <c r="B2" s="173" t="s">
        <v>58</v>
      </c>
      <c r="C2" s="173"/>
      <c r="D2" s="173"/>
      <c r="E2" s="173"/>
      <c r="F2" s="15"/>
      <c r="G2" s="173" t="s">
        <v>59</v>
      </c>
      <c r="H2" s="173"/>
      <c r="I2" s="173"/>
      <c r="J2" s="15"/>
    </row>
    <row r="3" spans="1:16" ht="14.25">
      <c r="A3" s="15" t="s">
        <v>18</v>
      </c>
      <c r="B3" s="17" t="s">
        <v>21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6" ht="14.25">
      <c r="A4" s="21" t="s">
        <v>61</v>
      </c>
      <c r="B4" s="23" t="s">
        <v>62</v>
      </c>
      <c r="C4" s="23" t="s">
        <v>27</v>
      </c>
      <c r="D4" s="23" t="s">
        <v>28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6" ht="14.25">
      <c r="A5" s="15"/>
      <c r="B5" s="174" t="s">
        <v>67</v>
      </c>
      <c r="C5" s="174"/>
      <c r="D5" s="174"/>
      <c r="E5" s="174"/>
      <c r="F5" s="174"/>
      <c r="G5" s="174"/>
      <c r="H5" s="174"/>
      <c r="I5" s="174"/>
      <c r="J5" s="174"/>
    </row>
    <row r="6" spans="1:16" ht="14.25">
      <c r="A6" s="15" t="s">
        <v>35</v>
      </c>
      <c r="B6" s="146">
        <v>310.92700000000002</v>
      </c>
      <c r="C6" s="37">
        <v>52493.097999999998</v>
      </c>
      <c r="D6" s="37">
        <v>634.23588423800004</v>
      </c>
      <c r="E6" s="118">
        <f>SUM(B6:D6)</f>
        <v>53438.260884238</v>
      </c>
      <c r="F6" s="37"/>
      <c r="G6" s="37">
        <f>E6-H6-J6</f>
        <v>38520.852884237996</v>
      </c>
      <c r="H6" s="121">
        <v>14546.517</v>
      </c>
      <c r="I6" s="37">
        <f>E6-J6</f>
        <v>53067.369884237996</v>
      </c>
      <c r="J6" s="37">
        <v>370.89100000000002</v>
      </c>
      <c r="K6" s="86"/>
      <c r="L6" s="137"/>
      <c r="M6" s="95"/>
    </row>
    <row r="7" spans="1:16" ht="16.5">
      <c r="A7" s="15" t="s">
        <v>36</v>
      </c>
      <c r="B7" s="146">
        <f>J6</f>
        <v>370.89100000000002</v>
      </c>
      <c r="C7" s="37">
        <f>C23</f>
        <v>54106.152000000002</v>
      </c>
      <c r="D7" s="37">
        <f>D23</f>
        <v>687.28289952299997</v>
      </c>
      <c r="E7" s="118">
        <f>SUM(B7:D7)</f>
        <v>55164.325899523006</v>
      </c>
      <c r="F7" s="37"/>
      <c r="G7" s="37">
        <f>E7-H7-J7</f>
        <v>38603.698899523006</v>
      </c>
      <c r="H7" s="121">
        <v>16107.337</v>
      </c>
      <c r="I7" s="37">
        <f>E7-J7</f>
        <v>54711.035899523005</v>
      </c>
      <c r="J7" s="37">
        <f>J22</f>
        <v>453.29</v>
      </c>
      <c r="K7" s="86"/>
      <c r="L7" s="137"/>
    </row>
    <row r="8" spans="1:16" ht="16.5">
      <c r="A8" s="15" t="s">
        <v>37</v>
      </c>
      <c r="B8" s="146">
        <f>J7</f>
        <v>453.29</v>
      </c>
      <c r="C8" s="37">
        <v>56946.639000000003</v>
      </c>
      <c r="D8" s="37">
        <v>675</v>
      </c>
      <c r="E8" s="118">
        <f>SUM(B8:D8)</f>
        <v>58074.929000000004</v>
      </c>
      <c r="F8" s="37"/>
      <c r="G8" s="37">
        <v>40225</v>
      </c>
      <c r="H8" s="121">
        <v>17400</v>
      </c>
      <c r="I8" s="37">
        <f>SUM(G8:H8)</f>
        <v>57625</v>
      </c>
      <c r="J8" s="37">
        <f>E8-I8</f>
        <v>449.92900000000373</v>
      </c>
      <c r="L8" s="137"/>
    </row>
    <row r="9" spans="1:16" ht="14.25">
      <c r="A9" s="15"/>
      <c r="B9" s="38"/>
      <c r="C9" s="38"/>
      <c r="D9" s="38"/>
      <c r="E9" s="38"/>
      <c r="F9" s="38"/>
      <c r="G9" s="37"/>
      <c r="H9" s="38"/>
      <c r="I9" s="38"/>
      <c r="J9" s="38"/>
    </row>
    <row r="10" spans="1:16" ht="15">
      <c r="A10" s="30" t="s">
        <v>53</v>
      </c>
      <c r="B10" s="39"/>
      <c r="C10" s="6"/>
      <c r="D10" s="6"/>
      <c r="E10" s="6"/>
      <c r="F10" s="6"/>
      <c r="G10" s="6"/>
      <c r="H10" s="6"/>
      <c r="I10" s="6"/>
      <c r="J10" s="6"/>
    </row>
    <row r="11" spans="1:16" ht="14.25">
      <c r="A11" s="15" t="s">
        <v>39</v>
      </c>
      <c r="B11" s="104">
        <f>J6</f>
        <v>370.89100000000002</v>
      </c>
      <c r="C11" s="105">
        <v>4738.4830000000002</v>
      </c>
      <c r="D11" s="6">
        <f>(43352.2*1.10231)/1000</f>
        <v>47.787563581999997</v>
      </c>
      <c r="E11" s="6">
        <f t="shared" ref="E11:E22" si="0">SUM(B11:D11)</f>
        <v>5157.1615635819999</v>
      </c>
      <c r="F11" s="6"/>
      <c r="G11" s="6">
        <f t="shared" ref="G11:G20" si="1">I11-H11</f>
        <v>3602.9976581149999</v>
      </c>
      <c r="H11" s="6">
        <f>(1106335.7*1.10231)/1000</f>
        <v>1219.5249054669998</v>
      </c>
      <c r="I11" s="98">
        <f t="shared" ref="I11:I20" si="2">E11-J11</f>
        <v>4822.5225635819997</v>
      </c>
      <c r="J11" s="105">
        <v>334.63900000000001</v>
      </c>
      <c r="K11" s="84"/>
      <c r="M11" s="120"/>
      <c r="N11" s="120"/>
    </row>
    <row r="12" spans="1:16" ht="14.25">
      <c r="A12" s="15" t="s">
        <v>40</v>
      </c>
      <c r="B12" s="39">
        <f t="shared" ref="B12:B18" si="3">J11</f>
        <v>334.63900000000001</v>
      </c>
      <c r="C12" s="6">
        <v>4706.2079999999996</v>
      </c>
      <c r="D12" s="6">
        <f>(48390.3*1.10231)/1000</f>
        <v>53.341111593000001</v>
      </c>
      <c r="E12" s="6">
        <f t="shared" si="0"/>
        <v>5094.188111593</v>
      </c>
      <c r="F12" s="6"/>
      <c r="G12" s="6">
        <f t="shared" si="1"/>
        <v>3280.6629275390005</v>
      </c>
      <c r="H12" s="6">
        <f>(1369023.4*1.10231)/1000</f>
        <v>1509.0881840539998</v>
      </c>
      <c r="I12" s="6">
        <f t="shared" si="2"/>
        <v>4789.7511115930001</v>
      </c>
      <c r="J12" s="6">
        <v>304.43700000000001</v>
      </c>
      <c r="K12" s="84"/>
      <c r="M12" s="120"/>
      <c r="N12" s="120"/>
    </row>
    <row r="13" spans="1:16" ht="14.25">
      <c r="A13" s="15" t="s">
        <v>42</v>
      </c>
      <c r="B13" s="39">
        <f t="shared" si="3"/>
        <v>304.43700000000001</v>
      </c>
      <c r="C13" s="6">
        <v>4818.3419999999996</v>
      </c>
      <c r="D13" s="102">
        <f>(53099.9*1.10231)/1000</f>
        <v>58.532550768999997</v>
      </c>
      <c r="E13" s="102">
        <f t="shared" si="0"/>
        <v>5181.311550769</v>
      </c>
      <c r="F13" s="102"/>
      <c r="G13" s="102">
        <f t="shared" si="1"/>
        <v>3073.843674963</v>
      </c>
      <c r="H13" s="102">
        <f>(1457582.6*1.10231)/1000</f>
        <v>1606.7078758059999</v>
      </c>
      <c r="I13" s="102">
        <f t="shared" si="2"/>
        <v>4680.5515507689997</v>
      </c>
      <c r="J13" s="6">
        <v>500.76</v>
      </c>
      <c r="K13" s="84"/>
      <c r="M13" s="120"/>
      <c r="N13" s="120"/>
    </row>
    <row r="14" spans="1:16" ht="14.25">
      <c r="A14" s="15" t="s">
        <v>43</v>
      </c>
      <c r="B14" s="39">
        <f t="shared" si="3"/>
        <v>500.76</v>
      </c>
      <c r="C14" s="6">
        <v>4583.558</v>
      </c>
      <c r="D14" s="102">
        <f>(53674.5*1.10231)/1000</f>
        <v>59.165938094999994</v>
      </c>
      <c r="E14" s="102">
        <f t="shared" si="0"/>
        <v>5143.4839380949998</v>
      </c>
      <c r="F14" s="102"/>
      <c r="G14" s="102">
        <f t="shared" si="1"/>
        <v>3276.5696487350006</v>
      </c>
      <c r="H14" s="102">
        <f>(1376056*1.10231)/1000</f>
        <v>1516.8402893599998</v>
      </c>
      <c r="I14" s="102">
        <f t="shared" si="2"/>
        <v>4793.4099380950001</v>
      </c>
      <c r="J14" s="6">
        <v>350.07400000000001</v>
      </c>
      <c r="K14" s="84"/>
      <c r="M14" s="120"/>
      <c r="N14" s="120"/>
      <c r="P14" s="34"/>
    </row>
    <row r="15" spans="1:16" ht="14.25">
      <c r="A15" s="15" t="s">
        <v>44</v>
      </c>
      <c r="B15" s="39">
        <f t="shared" si="3"/>
        <v>350.07400000000001</v>
      </c>
      <c r="C15" s="6">
        <v>4546.5569999999998</v>
      </c>
      <c r="D15" s="102">
        <f>(57158.1*1.10231)/1000</f>
        <v>63.00594521099999</v>
      </c>
      <c r="E15" s="102">
        <f t="shared" si="0"/>
        <v>4959.6369452109993</v>
      </c>
      <c r="F15" s="102"/>
      <c r="G15" s="102">
        <f t="shared" si="1"/>
        <v>3127.9675940109992</v>
      </c>
      <c r="H15" s="102">
        <f>(1365520*1.10231)/1000</f>
        <v>1505.2263512</v>
      </c>
      <c r="I15" s="102">
        <f t="shared" si="2"/>
        <v>4633.1939452109991</v>
      </c>
      <c r="J15" s="6">
        <v>326.44299999999998</v>
      </c>
      <c r="K15" s="84"/>
      <c r="M15" s="120"/>
      <c r="N15" s="120"/>
      <c r="P15" s="34"/>
    </row>
    <row r="16" spans="1:16" ht="14.25">
      <c r="A16" s="15" t="s">
        <v>46</v>
      </c>
      <c r="B16" s="39">
        <f t="shared" si="3"/>
        <v>326.44299999999998</v>
      </c>
      <c r="C16" s="6">
        <v>4793.0349999999999</v>
      </c>
      <c r="D16" s="102">
        <f>(52412.6*1.10231)/1000</f>
        <v>57.774933105999999</v>
      </c>
      <c r="E16" s="102">
        <f t="shared" si="0"/>
        <v>5177.2529331060005</v>
      </c>
      <c r="F16" s="102"/>
      <c r="G16" s="102">
        <f t="shared" si="1"/>
        <v>2965.2661064250001</v>
      </c>
      <c r="H16" s="102">
        <f>(1498795.1*1.10231)/1000</f>
        <v>1652.136826681</v>
      </c>
      <c r="I16" s="102">
        <f t="shared" si="2"/>
        <v>4617.4029331060001</v>
      </c>
      <c r="J16" s="6">
        <v>559.85</v>
      </c>
      <c r="K16" s="84"/>
      <c r="M16" s="120"/>
      <c r="N16" s="120"/>
      <c r="P16" s="34"/>
    </row>
    <row r="17" spans="1:16" ht="14.25">
      <c r="A17" s="15" t="s">
        <v>47</v>
      </c>
      <c r="B17" s="39">
        <f t="shared" si="3"/>
        <v>559.85</v>
      </c>
      <c r="C17" s="6">
        <v>4201.777</v>
      </c>
      <c r="D17" s="102">
        <f>(45671.7*1.10231)/1000</f>
        <v>50.344371626999994</v>
      </c>
      <c r="E17" s="102">
        <f t="shared" si="0"/>
        <v>4811.9713716270007</v>
      </c>
      <c r="F17" s="102"/>
      <c r="G17" s="102">
        <f t="shared" si="1"/>
        <v>3090.7359551340005</v>
      </c>
      <c r="H17" s="102">
        <f>(1257180.3*1.10231)/1000</f>
        <v>1385.802416493</v>
      </c>
      <c r="I17" s="102">
        <f t="shared" si="2"/>
        <v>4476.5383716270007</v>
      </c>
      <c r="J17" s="6">
        <v>335.43299999999999</v>
      </c>
      <c r="K17" s="84"/>
      <c r="M17" s="120"/>
      <c r="N17" s="120"/>
      <c r="P17" s="34"/>
    </row>
    <row r="18" spans="1:16" ht="14.25">
      <c r="A18" s="15" t="s">
        <v>48</v>
      </c>
      <c r="B18" s="39">
        <f t="shared" si="3"/>
        <v>335.43299999999999</v>
      </c>
      <c r="C18" s="6">
        <v>4506.893</v>
      </c>
      <c r="D18" s="102">
        <f>(61818.5*1.10231)/1000</f>
        <v>68.143150734999992</v>
      </c>
      <c r="E18" s="102">
        <f t="shared" si="0"/>
        <v>4910.4691507349999</v>
      </c>
      <c r="F18" s="102"/>
      <c r="G18" s="102">
        <f t="shared" si="1"/>
        <v>3444.2383320180006</v>
      </c>
      <c r="H18" s="102">
        <f>(1010410.7*1.10231)/1000</f>
        <v>1113.7858187169998</v>
      </c>
      <c r="I18" s="102">
        <f t="shared" si="2"/>
        <v>4558.0241507350001</v>
      </c>
      <c r="J18" s="6">
        <v>352.44499999999999</v>
      </c>
      <c r="K18" s="84"/>
      <c r="M18" s="120"/>
      <c r="N18" s="120"/>
      <c r="P18" s="34"/>
    </row>
    <row r="19" spans="1:16" ht="14.25">
      <c r="A19" s="15" t="s">
        <v>49</v>
      </c>
      <c r="B19" s="39">
        <f>J18</f>
        <v>352.44499999999999</v>
      </c>
      <c r="C19" s="6">
        <v>4330.68</v>
      </c>
      <c r="D19" s="102">
        <f>(44979.4*1.10231)/1000</f>
        <v>49.581242414000002</v>
      </c>
      <c r="E19" s="102">
        <f t="shared" si="0"/>
        <v>4732.7062424140004</v>
      </c>
      <c r="F19" s="102"/>
      <c r="G19" s="102">
        <f t="shared" si="1"/>
        <v>3006.2036164590004</v>
      </c>
      <c r="H19" s="102">
        <f>(1119080.5*1.10231)/1000</f>
        <v>1233.5736259549999</v>
      </c>
      <c r="I19" s="102">
        <f t="shared" si="2"/>
        <v>4239.7772424140003</v>
      </c>
      <c r="J19" s="6">
        <v>492.92899999999997</v>
      </c>
      <c r="K19" s="84"/>
      <c r="M19" s="120"/>
      <c r="N19" s="120"/>
      <c r="P19" s="34"/>
    </row>
    <row r="20" spans="1:16" ht="14.25">
      <c r="A20" s="15" t="s">
        <v>50</v>
      </c>
      <c r="B20" s="39">
        <f>J19</f>
        <v>492.92899999999997</v>
      </c>
      <c r="C20" s="6">
        <v>4548.6549999999997</v>
      </c>
      <c r="D20" s="102">
        <f>(38648.7*1.10231)/1000</f>
        <v>42.602848496999989</v>
      </c>
      <c r="E20" s="102">
        <f t="shared" si="0"/>
        <v>5084.186848497</v>
      </c>
      <c r="F20" s="102"/>
      <c r="G20" s="102">
        <f t="shared" si="1"/>
        <v>3531.9827891890004</v>
      </c>
      <c r="H20" s="102">
        <f>(1017566.8*1.10231)/1000</f>
        <v>1121.6740593079999</v>
      </c>
      <c r="I20" s="102">
        <f t="shared" si="2"/>
        <v>4653.6568484970003</v>
      </c>
      <c r="J20" s="6">
        <v>430.53</v>
      </c>
      <c r="K20" s="84"/>
      <c r="M20" s="120"/>
      <c r="N20" s="120"/>
      <c r="P20" s="34"/>
    </row>
    <row r="21" spans="1:16" ht="14.25">
      <c r="A21" s="15" t="s">
        <v>51</v>
      </c>
      <c r="B21" s="39">
        <f>J20</f>
        <v>430.53</v>
      </c>
      <c r="C21" s="6">
        <v>3963.0810000000001</v>
      </c>
      <c r="D21" s="102">
        <f>(54003.3*1.10231)/1000</f>
        <v>59.528377622999997</v>
      </c>
      <c r="E21" s="102">
        <f t="shared" si="0"/>
        <v>4453.1393776229997</v>
      </c>
      <c r="F21" s="102"/>
      <c r="G21" s="102">
        <f>I21-H21</f>
        <v>3097.4258477249996</v>
      </c>
      <c r="H21" s="102">
        <f>(909155.8*1.10231)/1000</f>
        <v>1002.1715298979999</v>
      </c>
      <c r="I21" s="102">
        <f>E21-J21</f>
        <v>4099.5973776229994</v>
      </c>
      <c r="J21" s="6">
        <v>353.54199999999997</v>
      </c>
      <c r="K21" s="84"/>
      <c r="M21" s="120"/>
      <c r="N21" s="120"/>
      <c r="P21" s="34"/>
    </row>
    <row r="22" spans="1:16" ht="14.25">
      <c r="A22" s="15" t="s">
        <v>38</v>
      </c>
      <c r="B22" s="39">
        <f>J21</f>
        <v>353.54199999999997</v>
      </c>
      <c r="C22" s="6">
        <v>4368.8829999999998</v>
      </c>
      <c r="D22" s="102">
        <f>(70284.1*1.10231)/1000</f>
        <v>77.47486627100001</v>
      </c>
      <c r="E22" s="102">
        <f t="shared" si="0"/>
        <v>4799.8998662710001</v>
      </c>
      <c r="F22" s="102"/>
      <c r="G22" s="102">
        <f>I22-H22</f>
        <v>3105.8048662540004</v>
      </c>
      <c r="H22" s="102">
        <f>(1125640.7*1.10231)/1000</f>
        <v>1240.8050000169999</v>
      </c>
      <c r="I22" s="102">
        <f>E22-J22</f>
        <v>4346.6098662710001</v>
      </c>
      <c r="J22" s="6">
        <v>453.29</v>
      </c>
      <c r="K22" s="87"/>
      <c r="M22" s="120"/>
      <c r="N22" s="120"/>
      <c r="P22" s="34"/>
    </row>
    <row r="23" spans="1:16" ht="14.25">
      <c r="A23" s="15" t="s">
        <v>29</v>
      </c>
      <c r="B23" s="39"/>
      <c r="C23" s="6">
        <f>SUM(C11:C22)</f>
        <v>54106.152000000002</v>
      </c>
      <c r="D23" s="6">
        <f>(623493.3*1.10231)/1000</f>
        <v>687.28289952299997</v>
      </c>
      <c r="E23" s="6">
        <f>B11+C23+D23</f>
        <v>55164.325899523006</v>
      </c>
      <c r="F23" s="6"/>
      <c r="G23" s="6">
        <f>SUM(G11:G22)</f>
        <v>38603.699016567007</v>
      </c>
      <c r="H23" s="6">
        <f>(14612347.3*1.10231)/1000</f>
        <v>16107.336552262999</v>
      </c>
      <c r="I23" s="5">
        <f>SUM(I11:I22)</f>
        <v>54711.035899522998</v>
      </c>
      <c r="J23" s="6"/>
      <c r="K23" s="119"/>
      <c r="M23" s="120"/>
      <c r="N23" s="34"/>
      <c r="P23" s="34"/>
    </row>
    <row r="24" spans="1:16" ht="14.25">
      <c r="A24" s="15"/>
      <c r="B24" s="39"/>
      <c r="C24" s="6"/>
      <c r="D24" s="6"/>
      <c r="E24" s="6"/>
      <c r="F24" s="6"/>
      <c r="G24" s="6"/>
      <c r="H24" s="6"/>
      <c r="I24" s="6"/>
      <c r="J24" s="6"/>
      <c r="K24" s="84"/>
      <c r="M24" s="120"/>
      <c r="N24" s="34"/>
      <c r="P24" s="34"/>
    </row>
    <row r="25" spans="1:16" ht="15">
      <c r="A25" s="30" t="s">
        <v>158</v>
      </c>
      <c r="B25" s="39"/>
      <c r="C25" s="6"/>
      <c r="D25" s="6"/>
      <c r="E25" s="6"/>
      <c r="F25" s="6"/>
      <c r="G25" s="6"/>
      <c r="H25" s="6"/>
      <c r="I25" s="6"/>
      <c r="J25" s="6"/>
      <c r="K25" s="84"/>
      <c r="M25" s="120"/>
      <c r="N25" s="34"/>
      <c r="P25" s="34"/>
    </row>
    <row r="26" spans="1:16" ht="14.25">
      <c r="A26" s="15" t="s">
        <v>39</v>
      </c>
      <c r="B26" s="39">
        <f>J22</f>
        <v>453.29</v>
      </c>
      <c r="C26" s="6">
        <v>5088.7489999999998</v>
      </c>
      <c r="D26" s="102">
        <f>(42814.1*1.10231)/1000</f>
        <v>47.194410570999992</v>
      </c>
      <c r="E26" s="6">
        <f>SUM(B26:D26)</f>
        <v>5589.2334105709997</v>
      </c>
      <c r="F26" s="6"/>
      <c r="G26" s="6">
        <f>I26-H26</f>
        <v>3831.7500592099996</v>
      </c>
      <c r="H26" s="102">
        <f>(1284823.1*1.10231)/1000</f>
        <v>1416.2733513609999</v>
      </c>
      <c r="I26" s="102">
        <f>E26-J26</f>
        <v>5248.0234105709997</v>
      </c>
      <c r="J26" s="6">
        <v>341.21000000000004</v>
      </c>
      <c r="K26" s="84"/>
      <c r="M26" s="120"/>
      <c r="N26" s="34"/>
      <c r="P26" s="34"/>
    </row>
    <row r="27" spans="1:16" ht="14.25">
      <c r="A27" s="15" t="s">
        <v>40</v>
      </c>
      <c r="B27" s="39">
        <f>J26</f>
        <v>341.21000000000004</v>
      </c>
      <c r="C27" s="6">
        <v>4974.8110000000006</v>
      </c>
      <c r="D27" s="102">
        <f>(46652.9*1.10231)/1000</f>
        <v>51.425958199</v>
      </c>
      <c r="E27" s="102">
        <f>SUM(B27:D27)</f>
        <v>5367.4469581990006</v>
      </c>
      <c r="F27" s="6"/>
      <c r="G27" s="102">
        <f>I27-H27</f>
        <v>3144.328219418001</v>
      </c>
      <c r="H27" s="102">
        <f>(1550705.1*1.10231)/1000</f>
        <v>1709.3577387810001</v>
      </c>
      <c r="I27" s="102">
        <f>E27-J27</f>
        <v>4853.6859581990011</v>
      </c>
      <c r="J27" s="6">
        <v>513.76099999999997</v>
      </c>
      <c r="K27" s="84"/>
      <c r="M27" s="120"/>
      <c r="N27" s="34"/>
      <c r="P27" s="34"/>
    </row>
    <row r="28" spans="1:16" ht="14.25">
      <c r="A28" s="15" t="s">
        <v>42</v>
      </c>
      <c r="B28" s="39">
        <f>J27</f>
        <v>513.76099999999997</v>
      </c>
      <c r="C28" s="100">
        <v>5162.1440000000002</v>
      </c>
      <c r="D28" s="102">
        <f>(31368.9*1.10231)/1000</f>
        <v>34.578252158999994</v>
      </c>
      <c r="E28" s="102">
        <f>SUM(B28:D28)</f>
        <v>5710.4832521590006</v>
      </c>
      <c r="F28" s="102"/>
      <c r="G28" s="102">
        <f>I28-H28</f>
        <v>3548.7402949380003</v>
      </c>
      <c r="H28" s="102">
        <f>(1548029.1*1.10231)/1000</f>
        <v>1706.4079572210001</v>
      </c>
      <c r="I28" s="102">
        <f>E28-J28</f>
        <v>5255.1482521590005</v>
      </c>
      <c r="J28" s="6">
        <v>455.33500000000004</v>
      </c>
      <c r="K28" s="84"/>
      <c r="L28" s="101"/>
      <c r="M28" s="120"/>
      <c r="N28" s="34"/>
      <c r="P28" s="34"/>
    </row>
    <row r="29" spans="1:16" ht="14.25">
      <c r="A29" s="15" t="s">
        <v>43</v>
      </c>
      <c r="B29" s="39">
        <f>J28</f>
        <v>455.33500000000004</v>
      </c>
      <c r="C29" s="6">
        <v>5046.0140000000001</v>
      </c>
      <c r="D29" s="102">
        <f>(49274.6*1.10231)/1000</f>
        <v>54.315884325999995</v>
      </c>
      <c r="E29" s="102">
        <f>SUM(B29:D29)</f>
        <v>5555.664884326</v>
      </c>
      <c r="F29" s="102"/>
      <c r="G29" s="102">
        <f>I29-H29</f>
        <v>3522.7561092720007</v>
      </c>
      <c r="H29" s="102">
        <f>(1425123.4*1.10231)/1000</f>
        <v>1570.9277750539998</v>
      </c>
      <c r="I29" s="102">
        <f>E29-J29</f>
        <v>5093.6838843260002</v>
      </c>
      <c r="J29" s="6">
        <v>461.98099999999999</v>
      </c>
      <c r="K29" s="84"/>
      <c r="M29" s="120"/>
      <c r="N29" s="34"/>
    </row>
    <row r="30" spans="1:16" ht="16.5">
      <c r="A30" s="79" t="s">
        <v>68</v>
      </c>
      <c r="B30" s="69"/>
      <c r="C30" s="69"/>
      <c r="D30" s="69"/>
      <c r="E30" s="69"/>
      <c r="F30" s="69"/>
      <c r="G30" s="69"/>
      <c r="H30" s="69"/>
      <c r="I30" s="69"/>
      <c r="J30" s="69"/>
    </row>
    <row r="31" spans="1:16" ht="14.25">
      <c r="A31" s="15" t="s">
        <v>69</v>
      </c>
      <c r="B31" s="15"/>
      <c r="C31" s="15"/>
      <c r="D31" s="15"/>
      <c r="E31" s="15"/>
      <c r="F31" s="15"/>
      <c r="G31" s="15"/>
      <c r="H31" s="15"/>
      <c r="I31" s="15"/>
      <c r="J31" s="15"/>
    </row>
    <row r="32" spans="1:16" ht="14.25">
      <c r="A32" s="20" t="s">
        <v>57</v>
      </c>
      <c r="B32" s="36">
        <f>Contents!A18</f>
        <v>45729</v>
      </c>
      <c r="C32" s="33"/>
      <c r="D32" s="28"/>
      <c r="E32" s="28"/>
      <c r="F32" s="28"/>
      <c r="G32" s="28"/>
      <c r="H32" s="28"/>
      <c r="I32" s="28"/>
      <c r="J32" s="28"/>
    </row>
    <row r="33" spans="2:10">
      <c r="B33" s="41"/>
      <c r="C33" s="42"/>
      <c r="D33" s="41"/>
      <c r="E33" s="81"/>
      <c r="F33" s="41"/>
      <c r="G33" s="41"/>
      <c r="H33" s="43"/>
      <c r="I33" s="81"/>
      <c r="J33" s="41"/>
    </row>
    <row r="34" spans="2:10">
      <c r="B34" s="41"/>
      <c r="C34" s="41"/>
      <c r="D34" s="41"/>
      <c r="E34" s="41"/>
      <c r="F34" s="41"/>
      <c r="G34" s="41"/>
      <c r="H34" s="41"/>
      <c r="I34" s="41"/>
      <c r="J34" s="41"/>
    </row>
    <row r="35" spans="2:10">
      <c r="G35" s="34"/>
      <c r="H35" s="68"/>
    </row>
    <row r="36" spans="2:10">
      <c r="G36" s="90"/>
    </row>
    <row r="51" spans="2:9">
      <c r="B51" s="34"/>
      <c r="C51" s="34"/>
      <c r="D51" s="34"/>
      <c r="E51" s="34"/>
      <c r="F51" s="34"/>
      <c r="G51" s="34"/>
      <c r="H51" s="34"/>
      <c r="I51" s="34"/>
    </row>
    <row r="52" spans="2:9">
      <c r="B52" s="34"/>
      <c r="C52" s="34"/>
      <c r="D52" s="34"/>
      <c r="E52" s="34"/>
      <c r="F52" s="34"/>
      <c r="G52" s="34"/>
      <c r="H52" s="34"/>
      <c r="I52" s="34"/>
    </row>
    <row r="53" spans="2:9">
      <c r="B53" s="34"/>
      <c r="C53" s="34"/>
      <c r="D53" s="34"/>
      <c r="E53" s="34"/>
      <c r="F53" s="34"/>
      <c r="G53" s="34"/>
      <c r="H53" s="34"/>
      <c r="I53" s="34"/>
    </row>
    <row r="54" spans="2:9">
      <c r="B54" s="34"/>
      <c r="C54" s="34"/>
      <c r="D54" s="34"/>
      <c r="E54" s="34"/>
      <c r="F54" s="34"/>
      <c r="G54" s="34"/>
      <c r="H54" s="34"/>
      <c r="I54" s="34"/>
    </row>
    <row r="55" spans="2:9">
      <c r="B55" s="34"/>
      <c r="C55" s="34"/>
      <c r="D55" s="34"/>
      <c r="E55" s="34"/>
      <c r="F55" s="34"/>
      <c r="G55" s="34"/>
      <c r="H55" s="34"/>
      <c r="I55" s="34"/>
    </row>
    <row r="56" spans="2:9">
      <c r="B56" s="34"/>
      <c r="C56" s="34"/>
      <c r="D56" s="34"/>
      <c r="E56" s="34"/>
      <c r="F56" s="34"/>
      <c r="G56" s="34"/>
      <c r="H56" s="34"/>
      <c r="I56" s="34"/>
    </row>
    <row r="57" spans="2:9">
      <c r="B57" s="34"/>
      <c r="C57" s="34"/>
      <c r="D57" s="34"/>
      <c r="E57" s="34"/>
      <c r="F57" s="34"/>
      <c r="G57" s="34"/>
      <c r="H57" s="34"/>
      <c r="I57" s="34"/>
    </row>
    <row r="58" spans="2:9">
      <c r="B58" s="34"/>
      <c r="C58" s="34"/>
      <c r="D58" s="34"/>
      <c r="E58" s="34"/>
      <c r="F58" s="34"/>
      <c r="G58" s="34"/>
      <c r="H58" s="34"/>
      <c r="I58" s="34"/>
    </row>
    <row r="59" spans="2:9">
      <c r="B59" s="34"/>
      <c r="C59" s="34"/>
      <c r="D59" s="34"/>
      <c r="E59" s="34"/>
      <c r="F59" s="34"/>
      <c r="G59" s="34"/>
      <c r="H59" s="34"/>
      <c r="I59" s="34"/>
    </row>
    <row r="60" spans="2:9">
      <c r="B60" s="34"/>
      <c r="C60" s="34"/>
      <c r="D60" s="34"/>
      <c r="E60" s="34"/>
      <c r="F60" s="34"/>
      <c r="G60" s="34"/>
      <c r="H60" s="34"/>
      <c r="I60" s="34"/>
    </row>
    <row r="61" spans="2:9">
      <c r="B61" s="34"/>
      <c r="C61" s="34"/>
      <c r="D61" s="34"/>
      <c r="E61" s="34"/>
      <c r="F61" s="34"/>
      <c r="G61" s="34"/>
      <c r="H61" s="34"/>
      <c r="I61" s="34"/>
    </row>
  </sheetData>
  <mergeCells count="3">
    <mergeCell ref="G2:I2"/>
    <mergeCell ref="B5:J5"/>
    <mergeCell ref="B2:E2"/>
  </mergeCells>
  <phoneticPr fontId="57" type="noConversion"/>
  <pageMargins left="0.75" right="0.75" top="1" bottom="1" header="0.5" footer="0.5"/>
  <pageSetup scale="74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57"/>
  <sheetViews>
    <sheetView showGridLines="0" zoomScale="70" zoomScaleNormal="70" workbookViewId="0">
      <pane xSplit="1" ySplit="1" topLeftCell="B2" activePane="bottomRight" state="frozen"/>
      <selection pane="topRight" activeCell="B1" sqref="B1"/>
      <selection pane="bottomLeft" activeCell="B1" sqref="B1"/>
      <selection pane="bottomRight"/>
    </sheetView>
  </sheetViews>
  <sheetFormatPr defaultColWidth="9.28515625" defaultRowHeight="12.75"/>
  <cols>
    <col min="1" max="1" width="15.42578125" customWidth="1"/>
    <col min="2" max="2" width="12.42578125" bestFit="1" customWidth="1"/>
    <col min="3" max="3" width="14.85546875" bestFit="1" customWidth="1"/>
    <col min="4" max="4" width="11" bestFit="1" customWidth="1"/>
    <col min="5" max="5" width="12.42578125" customWidth="1"/>
    <col min="6" max="6" width="3.5703125" customWidth="1"/>
    <col min="7" max="7" width="11.5703125" bestFit="1" customWidth="1"/>
    <col min="8" max="8" width="12.42578125" customWidth="1"/>
    <col min="9" max="9" width="12.5703125" customWidth="1"/>
    <col min="10" max="10" width="9.5703125" bestFit="1" customWidth="1"/>
    <col min="11" max="11" width="11.5703125" bestFit="1" customWidth="1"/>
    <col min="12" max="12" width="12.5703125" bestFit="1" customWidth="1"/>
    <col min="13" max="13" width="11.5703125" bestFit="1" customWidth="1"/>
    <col min="14" max="14" width="11.28515625" customWidth="1"/>
  </cols>
  <sheetData>
    <row r="1" spans="1:20" ht="14.25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4.25">
      <c r="A2" s="15"/>
      <c r="B2" s="173" t="s">
        <v>58</v>
      </c>
      <c r="C2" s="173"/>
      <c r="D2" s="173"/>
      <c r="E2" s="173"/>
      <c r="F2" s="15"/>
      <c r="G2" s="173" t="s">
        <v>59</v>
      </c>
      <c r="H2" s="173"/>
      <c r="I2" s="173"/>
      <c r="J2" s="134"/>
      <c r="K2" s="134"/>
      <c r="L2" s="15"/>
    </row>
    <row r="3" spans="1:20" ht="14.25">
      <c r="A3" s="15" t="s">
        <v>18</v>
      </c>
      <c r="B3" s="17" t="s">
        <v>70</v>
      </c>
      <c r="C3" s="17" t="s">
        <v>27</v>
      </c>
      <c r="D3" s="17" t="s">
        <v>71</v>
      </c>
      <c r="E3" s="17" t="s">
        <v>63</v>
      </c>
      <c r="F3" s="17"/>
      <c r="G3" s="134" t="s">
        <v>64</v>
      </c>
      <c r="H3" s="134"/>
      <c r="I3" s="134"/>
      <c r="J3" s="17" t="s">
        <v>72</v>
      </c>
      <c r="K3" s="17" t="s">
        <v>63</v>
      </c>
      <c r="L3" s="17" t="s">
        <v>60</v>
      </c>
    </row>
    <row r="4" spans="1:20" ht="16.5">
      <c r="A4" s="21" t="s">
        <v>61</v>
      </c>
      <c r="B4" s="23" t="s">
        <v>62</v>
      </c>
      <c r="C4" s="24"/>
      <c r="D4" s="24"/>
      <c r="E4" s="24"/>
      <c r="F4" s="24"/>
      <c r="G4" s="23" t="s">
        <v>29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25">
      <c r="A5" s="15"/>
      <c r="B5" s="175" t="s">
        <v>75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1:20" ht="16.5">
      <c r="A6" s="15" t="s">
        <v>76</v>
      </c>
      <c r="B6" s="38">
        <v>1991.1479999999999</v>
      </c>
      <c r="C6" s="38">
        <v>26227.309000000001</v>
      </c>
      <c r="D6" s="145">
        <v>375.55383030479999</v>
      </c>
      <c r="E6" s="38">
        <f>SUM(B6:D6)</f>
        <v>28594.010830304804</v>
      </c>
      <c r="F6" s="38"/>
      <c r="G6" s="38">
        <f>K6-J6</f>
        <v>26609.028920468605</v>
      </c>
      <c r="H6" s="38">
        <v>12510.33</v>
      </c>
      <c r="I6" s="118">
        <f>G6-H6</f>
        <v>14098.698920468605</v>
      </c>
      <c r="J6" s="38">
        <v>377.90990983619997</v>
      </c>
      <c r="K6" s="38">
        <f>E6-L6</f>
        <v>26986.938830304804</v>
      </c>
      <c r="L6" s="38">
        <v>1607.0719999999999</v>
      </c>
    </row>
    <row r="7" spans="1:20" ht="16.5">
      <c r="A7" s="15" t="s">
        <v>77</v>
      </c>
      <c r="B7" s="38">
        <f>L6</f>
        <v>1607.0719999999999</v>
      </c>
      <c r="C7" s="38">
        <f>C23</f>
        <v>27092.798000000003</v>
      </c>
      <c r="D7" s="145">
        <f>D23</f>
        <v>620.64231943139998</v>
      </c>
      <c r="E7" s="38">
        <f>SUM(B7:D7)</f>
        <v>29320.512319431404</v>
      </c>
      <c r="F7" s="38"/>
      <c r="G7" s="38">
        <f>K7-J7</f>
        <v>27152.891032409003</v>
      </c>
      <c r="H7" s="38">
        <v>12989.041999999999</v>
      </c>
      <c r="I7" s="118">
        <f>G7-H7</f>
        <v>14163.849032409003</v>
      </c>
      <c r="J7" s="38">
        <f>J23</f>
        <v>616.76328702240005</v>
      </c>
      <c r="K7" s="38">
        <f>E7-L7</f>
        <v>27769.654319431404</v>
      </c>
      <c r="L7" s="38">
        <f>L22</f>
        <v>1550.8580000000002</v>
      </c>
      <c r="M7" s="137"/>
      <c r="N7" s="137"/>
      <c r="O7" s="137"/>
      <c r="P7" s="137"/>
      <c r="Q7" s="137"/>
      <c r="R7" s="137"/>
      <c r="S7" s="137"/>
      <c r="T7" s="137"/>
    </row>
    <row r="8" spans="1:20" ht="16.5">
      <c r="A8" s="15" t="s">
        <v>37</v>
      </c>
      <c r="B8" s="38">
        <f>L7</f>
        <v>1550.8580000000002</v>
      </c>
      <c r="C8" s="38">
        <v>28680</v>
      </c>
      <c r="D8" s="145">
        <v>550</v>
      </c>
      <c r="E8" s="38">
        <f>SUM(B8:D8)</f>
        <v>30780.858</v>
      </c>
      <c r="F8" s="38"/>
      <c r="G8" s="38">
        <f>H8+I8</f>
        <v>27450</v>
      </c>
      <c r="H8" s="38">
        <v>13450</v>
      </c>
      <c r="I8" s="118">
        <v>14000</v>
      </c>
      <c r="J8" s="38">
        <v>1800</v>
      </c>
      <c r="K8" s="38">
        <f>G8+J8</f>
        <v>29250</v>
      </c>
      <c r="L8" s="38">
        <f>E8-K8</f>
        <v>1530.8580000000002</v>
      </c>
    </row>
    <row r="9" spans="1:20" ht="14.25">
      <c r="A9" s="15"/>
      <c r="B9" s="38"/>
      <c r="C9" s="38"/>
      <c r="D9" s="38"/>
      <c r="E9" s="38"/>
      <c r="F9" s="38"/>
      <c r="G9" s="38"/>
      <c r="H9" s="38"/>
      <c r="I9" s="78"/>
      <c r="J9" s="38"/>
      <c r="K9" s="38"/>
      <c r="L9" s="38"/>
    </row>
    <row r="10" spans="1:20" ht="15">
      <c r="A10" s="30" t="s">
        <v>53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4.25">
      <c r="A11" s="15" t="s">
        <v>39</v>
      </c>
      <c r="B11" s="5">
        <v>1607.0719999999999</v>
      </c>
      <c r="C11" s="6">
        <v>2375.654</v>
      </c>
      <c r="D11" s="6">
        <f>(20588.3*2204.622)/1000000</f>
        <v>45.389419122599996</v>
      </c>
      <c r="E11" s="6">
        <f t="shared" ref="E11:E22" si="0">SUM(B11:D11)</f>
        <v>4028.1154191225996</v>
      </c>
      <c r="F11" s="5"/>
      <c r="G11" s="5">
        <f>K11-J11</f>
        <v>2513.5540054601997</v>
      </c>
      <c r="H11" s="103">
        <v>1062.24</v>
      </c>
      <c r="I11" s="6">
        <f>G11-H11</f>
        <v>1451.3140054601997</v>
      </c>
      <c r="J11" s="6">
        <f>(5879.2*2204.622)/1000000</f>
        <v>12.961413662399998</v>
      </c>
      <c r="K11" s="6">
        <f>E11-L11</f>
        <v>2526.5154191225997</v>
      </c>
      <c r="L11" s="5">
        <v>1501.6</v>
      </c>
      <c r="M11" s="128"/>
      <c r="N11" s="86"/>
      <c r="P11" s="34"/>
    </row>
    <row r="12" spans="1:20" ht="14.25">
      <c r="A12" s="15" t="s">
        <v>40</v>
      </c>
      <c r="B12" s="5">
        <f>L11</f>
        <v>1501.6</v>
      </c>
      <c r="C12" s="6">
        <v>2324.6680000000001</v>
      </c>
      <c r="D12" s="6">
        <f>(16757.1*2204.622)/1000000</f>
        <v>36.943071316199998</v>
      </c>
      <c r="E12" s="6">
        <f t="shared" si="0"/>
        <v>3863.2110713162001</v>
      </c>
      <c r="F12" s="5"/>
      <c r="G12" s="5">
        <f t="shared" ref="G12:G22" si="1">K12-J12</f>
        <v>2250.4175343679999</v>
      </c>
      <c r="H12" s="103">
        <v>1064.6769999999999</v>
      </c>
      <c r="I12" s="6">
        <f t="shared" ref="I12:I22" si="2">G12-H12</f>
        <v>1185.740534368</v>
      </c>
      <c r="J12" s="6">
        <f>(6213.1*2204.622)/1000000</f>
        <v>13.6975369482</v>
      </c>
      <c r="K12" s="6">
        <f t="shared" ref="K12:K22" si="3">E12-L12</f>
        <v>2264.1150713162001</v>
      </c>
      <c r="L12" s="5">
        <v>1599.096</v>
      </c>
      <c r="M12" s="128"/>
      <c r="N12" s="86"/>
      <c r="P12" s="34"/>
    </row>
    <row r="13" spans="1:20" ht="14.25">
      <c r="A13" s="15" t="s">
        <v>42</v>
      </c>
      <c r="B13" s="5">
        <f t="shared" ref="B13:B21" si="4">L12</f>
        <v>1599.096</v>
      </c>
      <c r="C13" s="6">
        <v>2376.2370000000001</v>
      </c>
      <c r="D13" s="6">
        <f>(21905.7*2204.622)/1000000</f>
        <v>48.293788145399994</v>
      </c>
      <c r="E13" s="6">
        <f t="shared" si="0"/>
        <v>4023.6267881454</v>
      </c>
      <c r="F13" s="5"/>
      <c r="G13" s="5">
        <f t="shared" si="1"/>
        <v>2186.9834934009996</v>
      </c>
      <c r="H13" s="103">
        <v>1141.8820000000001</v>
      </c>
      <c r="I13" s="6">
        <f t="shared" si="2"/>
        <v>1045.1014934009995</v>
      </c>
      <c r="J13" s="6">
        <f>(5810.2*2204.622)/1000000</f>
        <v>12.809294744399999</v>
      </c>
      <c r="K13" s="6">
        <f t="shared" si="3"/>
        <v>2199.7927881453998</v>
      </c>
      <c r="L13" s="5">
        <v>1823.8340000000001</v>
      </c>
      <c r="M13" s="128"/>
      <c r="N13" s="86"/>
      <c r="P13" s="34"/>
    </row>
    <row r="14" spans="1:20" ht="14.25">
      <c r="A14" s="15" t="s">
        <v>43</v>
      </c>
      <c r="B14" s="5">
        <f t="shared" si="4"/>
        <v>1823.8340000000001</v>
      </c>
      <c r="C14" s="6">
        <v>2282.3240000000001</v>
      </c>
      <c r="D14" s="6">
        <f>(22995*2204.622)/1000000</f>
        <v>50.695282889999994</v>
      </c>
      <c r="E14" s="6">
        <f t="shared" si="0"/>
        <v>4156.8532828900006</v>
      </c>
      <c r="F14" s="5"/>
      <c r="G14" s="5">
        <f t="shared" si="1"/>
        <v>2117.2979197476006</v>
      </c>
      <c r="H14" s="131">
        <v>960.20299999999997</v>
      </c>
      <c r="I14" s="6">
        <f t="shared" si="2"/>
        <v>1157.0949197476007</v>
      </c>
      <c r="J14" s="6">
        <f>(5219.2*2204.622)/1000000</f>
        <v>11.506363142399998</v>
      </c>
      <c r="K14" s="6">
        <f t="shared" si="3"/>
        <v>2128.8042828900006</v>
      </c>
      <c r="L14" s="5">
        <v>2028.049</v>
      </c>
      <c r="M14" s="161"/>
      <c r="N14" s="86"/>
      <c r="O14" s="86"/>
      <c r="P14" s="34"/>
    </row>
    <row r="15" spans="1:20" ht="14.25">
      <c r="A15" s="15" t="s">
        <v>44</v>
      </c>
      <c r="B15" s="5">
        <f t="shared" si="4"/>
        <v>2028.049</v>
      </c>
      <c r="C15" s="6">
        <v>2288.2179999999998</v>
      </c>
      <c r="D15" s="6">
        <f>(15950.7*2204.622)/1000000</f>
        <v>35.165264135399994</v>
      </c>
      <c r="E15" s="6">
        <f t="shared" si="0"/>
        <v>4351.4322641354001</v>
      </c>
      <c r="F15" s="5"/>
      <c r="G15" s="5">
        <f t="shared" si="1"/>
        <v>2190.4027908488001</v>
      </c>
      <c r="H15" s="131">
        <v>888.49</v>
      </c>
      <c r="I15" s="6">
        <f t="shared" si="2"/>
        <v>1301.9127908488001</v>
      </c>
      <c r="J15" s="6">
        <f>(6450.3*2204.622)/1000000</f>
        <v>14.220473286599999</v>
      </c>
      <c r="K15" s="6">
        <f t="shared" si="3"/>
        <v>2204.6232641353999</v>
      </c>
      <c r="L15" s="5">
        <v>2146.8090000000002</v>
      </c>
      <c r="M15" s="161"/>
      <c r="N15" s="86"/>
      <c r="O15" s="86"/>
      <c r="P15" s="34"/>
    </row>
    <row r="16" spans="1:20" ht="14.25">
      <c r="A16" s="15" t="s">
        <v>46</v>
      </c>
      <c r="B16" s="5">
        <f t="shared" si="4"/>
        <v>2146.8090000000002</v>
      </c>
      <c r="C16" s="6">
        <v>2403.7959999999998</v>
      </c>
      <c r="D16" s="6">
        <f>(22598.7*2204.622)/1000000</f>
        <v>49.821591191399996</v>
      </c>
      <c r="E16" s="6">
        <f t="shared" si="0"/>
        <v>4600.4265911913999</v>
      </c>
      <c r="F16" s="5"/>
      <c r="G16" s="5">
        <f t="shared" si="1"/>
        <v>2133.1132490381997</v>
      </c>
      <c r="H16" s="131">
        <v>1026.1990000000001</v>
      </c>
      <c r="I16" s="6">
        <f t="shared" si="2"/>
        <v>1106.9142490381996</v>
      </c>
      <c r="J16" s="6">
        <f>(44790.6*2204.622)/1000000</f>
        <v>98.74634215319999</v>
      </c>
      <c r="K16" s="6">
        <f t="shared" si="3"/>
        <v>2231.8595911913999</v>
      </c>
      <c r="L16" s="5">
        <v>2368.567</v>
      </c>
      <c r="M16" s="161"/>
      <c r="N16" s="86"/>
      <c r="O16" s="86"/>
      <c r="P16" s="34"/>
    </row>
    <row r="17" spans="1:16" ht="14.25">
      <c r="A17" s="15" t="s">
        <v>47</v>
      </c>
      <c r="B17" s="5">
        <f t="shared" si="4"/>
        <v>2368.567</v>
      </c>
      <c r="C17" s="6">
        <v>2096.2080000000001</v>
      </c>
      <c r="D17" s="6">
        <f>(24996.9*2204.622)/1000000</f>
        <v>55.108715671800006</v>
      </c>
      <c r="E17" s="6">
        <f t="shared" si="0"/>
        <v>4519.8837156718</v>
      </c>
      <c r="F17" s="5"/>
      <c r="G17" s="5">
        <f t="shared" si="1"/>
        <v>2186.6918875420001</v>
      </c>
      <c r="H17" s="131">
        <v>1070.029</v>
      </c>
      <c r="I17" s="6">
        <f t="shared" si="2"/>
        <v>1116.6628875420001</v>
      </c>
      <c r="J17" s="6">
        <f>(10135.9*2204.622)/1000000</f>
        <v>22.345828129800001</v>
      </c>
      <c r="K17" s="6">
        <f t="shared" si="3"/>
        <v>2209.0377156718</v>
      </c>
      <c r="L17" s="5">
        <v>2310.846</v>
      </c>
      <c r="M17" s="161"/>
      <c r="N17" s="86"/>
      <c r="O17" s="86"/>
      <c r="P17" s="34"/>
    </row>
    <row r="18" spans="1:16" ht="14.25">
      <c r="A18" s="15" t="s">
        <v>48</v>
      </c>
      <c r="B18" s="5">
        <f t="shared" si="4"/>
        <v>2310.846</v>
      </c>
      <c r="C18" s="6">
        <v>2267.1660000000002</v>
      </c>
      <c r="D18" s="6">
        <f>(40370*2204.622)/1000000</f>
        <v>89.00059014</v>
      </c>
      <c r="E18" s="6">
        <f t="shared" si="0"/>
        <v>4667.0125901400006</v>
      </c>
      <c r="F18" s="5"/>
      <c r="G18" s="5">
        <f t="shared" si="1"/>
        <v>2385.4156363152006</v>
      </c>
      <c r="H18" s="131">
        <v>1076.011</v>
      </c>
      <c r="I18" s="6">
        <f t="shared" si="2"/>
        <v>1309.4046363152006</v>
      </c>
      <c r="J18" s="6">
        <f>(42508.4*2204.622)/1000000</f>
        <v>93.714953824800006</v>
      </c>
      <c r="K18" s="6">
        <f t="shared" si="3"/>
        <v>2479.1305901400005</v>
      </c>
      <c r="L18" s="5">
        <v>2187.8820000000001</v>
      </c>
      <c r="M18" s="161"/>
      <c r="N18" s="86"/>
      <c r="O18" s="86"/>
      <c r="P18" s="34"/>
    </row>
    <row r="19" spans="1:16" ht="14.25">
      <c r="A19" s="15" t="s">
        <v>49</v>
      </c>
      <c r="B19" s="5">
        <f t="shared" si="4"/>
        <v>2187.8820000000001</v>
      </c>
      <c r="C19" s="6">
        <v>2182.25</v>
      </c>
      <c r="D19" s="6">
        <f>(45970.5*2204.622)/1000000</f>
        <v>101.347575651</v>
      </c>
      <c r="E19" s="6">
        <f t="shared" si="0"/>
        <v>4471.4795756509993</v>
      </c>
      <c r="F19" s="5"/>
      <c r="G19" s="5">
        <f t="shared" si="1"/>
        <v>2231.1614918979994</v>
      </c>
      <c r="H19" s="131">
        <v>1266.837</v>
      </c>
      <c r="I19" s="6">
        <f t="shared" si="2"/>
        <v>964.32449189799945</v>
      </c>
      <c r="J19" s="6">
        <f>(52311.5*2204.622)/1000000</f>
        <v>115.327083753</v>
      </c>
      <c r="K19" s="6">
        <f t="shared" si="3"/>
        <v>2346.4885756509993</v>
      </c>
      <c r="L19" s="5">
        <v>2124.991</v>
      </c>
      <c r="M19" s="161"/>
      <c r="N19" s="86"/>
      <c r="O19" s="86"/>
      <c r="P19" s="34"/>
    </row>
    <row r="20" spans="1:16" ht="14.25">
      <c r="A20" s="15" t="s">
        <v>50</v>
      </c>
      <c r="B20" s="5">
        <f t="shared" si="4"/>
        <v>2124.991</v>
      </c>
      <c r="C20" s="6">
        <v>2303.0819999999999</v>
      </c>
      <c r="D20" s="6">
        <f>(33095.7*2204.622)/1000000</f>
        <v>72.963508325399999</v>
      </c>
      <c r="E20" s="6">
        <f t="shared" si="0"/>
        <v>4501.0365083254001</v>
      </c>
      <c r="F20" s="5"/>
      <c r="G20" s="5">
        <f t="shared" si="1"/>
        <v>2395.4271514970001</v>
      </c>
      <c r="H20" s="131">
        <v>1139.1510000000001</v>
      </c>
      <c r="I20" s="6">
        <f t="shared" si="2"/>
        <v>1256.276151497</v>
      </c>
      <c r="J20" s="6">
        <f>(44032.2*2204.622)/1000000</f>
        <v>97.074356828399985</v>
      </c>
      <c r="K20" s="6">
        <f t="shared" si="3"/>
        <v>2492.5015083254002</v>
      </c>
      <c r="L20" s="5">
        <v>2008.5349999999999</v>
      </c>
      <c r="M20" s="161"/>
      <c r="N20" s="86"/>
      <c r="O20" s="86"/>
      <c r="P20" s="34"/>
    </row>
    <row r="21" spans="1:16" ht="14.25">
      <c r="A21" s="15" t="s">
        <v>51</v>
      </c>
      <c r="B21" s="5">
        <f t="shared" si="4"/>
        <v>2008.5349999999999</v>
      </c>
      <c r="C21" s="100">
        <v>1991.846</v>
      </c>
      <c r="D21" s="6">
        <f>(6929.7*2204.622)/1000000</f>
        <v>15.277369073399997</v>
      </c>
      <c r="E21" s="6">
        <f t="shared" si="0"/>
        <v>4015.6583690734001</v>
      </c>
      <c r="F21" s="5"/>
      <c r="G21" s="5">
        <f t="shared" si="1"/>
        <v>2322.2227831693999</v>
      </c>
      <c r="H21" s="131">
        <v>1217.0319999999999</v>
      </c>
      <c r="I21" s="6">
        <f t="shared" si="2"/>
        <v>1105.1907831694</v>
      </c>
      <c r="J21" s="6">
        <f>(29032*2204.622)/1000000</f>
        <v>64.004585903999995</v>
      </c>
      <c r="K21" s="6">
        <f t="shared" si="3"/>
        <v>2386.2273690734</v>
      </c>
      <c r="L21" s="5">
        <v>1629.431</v>
      </c>
      <c r="M21" s="161"/>
      <c r="N21" s="86"/>
      <c r="O21" s="86"/>
      <c r="P21" s="34"/>
    </row>
    <row r="22" spans="1:16" ht="14.25">
      <c r="A22" s="15" t="s">
        <v>38</v>
      </c>
      <c r="B22" s="5">
        <v>1629.431</v>
      </c>
      <c r="C22" s="100">
        <v>2201.3490000000002</v>
      </c>
      <c r="D22" s="6">
        <f>(9360.5*2204.622)/1000000</f>
        <v>20.636364230999998</v>
      </c>
      <c r="E22" s="6">
        <f t="shared" si="0"/>
        <v>3851.416364231</v>
      </c>
      <c r="F22" s="5"/>
      <c r="G22" s="5">
        <f t="shared" si="1"/>
        <v>2240.2033095857996</v>
      </c>
      <c r="H22" s="131">
        <v>1076.2909999999999</v>
      </c>
      <c r="I22" s="6">
        <f t="shared" si="2"/>
        <v>1163.9123095857997</v>
      </c>
      <c r="J22" s="6">
        <f>(27376.6*2204.622)/1000000</f>
        <v>60.355054645199992</v>
      </c>
      <c r="K22" s="6">
        <f t="shared" si="3"/>
        <v>2300.5583642309998</v>
      </c>
      <c r="L22" s="5">
        <v>1550.8580000000002</v>
      </c>
      <c r="M22" s="161"/>
      <c r="N22" s="86"/>
      <c r="O22" s="86"/>
      <c r="P22" s="34"/>
    </row>
    <row r="23" spans="1:16" ht="14.25">
      <c r="A23" s="15" t="s">
        <v>29</v>
      </c>
      <c r="B23" s="5"/>
      <c r="C23" s="100">
        <f>SUM(C11:C22)</f>
        <v>27092.798000000003</v>
      </c>
      <c r="D23" s="6">
        <f>(281518.7*2204.622)/1000000</f>
        <v>620.64231943139998</v>
      </c>
      <c r="E23" s="6">
        <f>B11+C23+D23</f>
        <v>29320.512319431404</v>
      </c>
      <c r="F23" s="5"/>
      <c r="G23" s="5">
        <f>K23-J23</f>
        <v>27152.891252871203</v>
      </c>
      <c r="H23" s="131">
        <f>SUM(H11:H22)</f>
        <v>12989.041999999999</v>
      </c>
      <c r="I23" s="102">
        <f>G23-H23</f>
        <v>14163.849252871203</v>
      </c>
      <c r="J23" s="6">
        <f>(279759.2*2204.622)/1000000</f>
        <v>616.76328702240005</v>
      </c>
      <c r="K23" s="6">
        <f>SUM(K11:K22)</f>
        <v>27769.654539893603</v>
      </c>
      <c r="L23" s="5"/>
      <c r="O23" s="86"/>
      <c r="P23" s="34"/>
    </row>
    <row r="24" spans="1:16" ht="14.25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O24" s="86"/>
      <c r="P24" s="34"/>
    </row>
    <row r="25" spans="1:16" ht="15">
      <c r="A25" s="30" t="s">
        <v>158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O25" s="86"/>
      <c r="P25" s="34"/>
    </row>
    <row r="26" spans="1:16" ht="14.25">
      <c r="A26" s="15" t="s">
        <v>39</v>
      </c>
      <c r="B26" s="5">
        <f>L22</f>
        <v>1550.8580000000002</v>
      </c>
      <c r="C26" s="6">
        <v>2543.453</v>
      </c>
      <c r="D26" s="6">
        <f>(13263.8*2204.622)/1000000</f>
        <v>29.241665283599996</v>
      </c>
      <c r="E26" s="6">
        <f>SUM(B26:D26)</f>
        <v>4123.5526652835997</v>
      </c>
      <c r="F26" s="5"/>
      <c r="G26" s="5">
        <f>K26-J26</f>
        <v>2508.8486039863997</v>
      </c>
      <c r="H26" s="144">
        <v>1227.0820000000001</v>
      </c>
      <c r="I26" s="6">
        <f t="shared" ref="I26" si="5">G26-H26</f>
        <v>1281.7666039863996</v>
      </c>
      <c r="J26" s="6">
        <f>(10242.6*2204.622)/1000000</f>
        <v>22.581061297199998</v>
      </c>
      <c r="K26" s="6">
        <f>E26-L26</f>
        <v>2531.4296652835997</v>
      </c>
      <c r="L26" s="6">
        <v>1592.123</v>
      </c>
      <c r="N26" s="34"/>
      <c r="O26" s="86"/>
      <c r="P26" s="34"/>
    </row>
    <row r="27" spans="1:16" ht="14.25">
      <c r="A27" s="15" t="s">
        <v>40</v>
      </c>
      <c r="B27" s="5">
        <f>L26</f>
        <v>1592.123</v>
      </c>
      <c r="C27" s="6">
        <v>2489.9409999999998</v>
      </c>
      <c r="D27" s="102">
        <f>(30494.4*2204.622)/1000000</f>
        <v>67.228625116799989</v>
      </c>
      <c r="E27" s="102">
        <f>SUM(B27:D27)</f>
        <v>4149.2926251168001</v>
      </c>
      <c r="F27" s="5"/>
      <c r="G27" s="78">
        <f>K27-J27</f>
        <v>2402.1522942078</v>
      </c>
      <c r="H27" s="144">
        <v>1191.5230000000001</v>
      </c>
      <c r="I27" s="102">
        <f>G27-H27</f>
        <v>1210.6292942077998</v>
      </c>
      <c r="J27" s="102">
        <f>(58509.5*2204.622)/1000000</f>
        <v>128.991330909</v>
      </c>
      <c r="K27" s="102">
        <f>E27-L27</f>
        <v>2531.1436251168002</v>
      </c>
      <c r="L27" s="6">
        <v>1618.1489999999999</v>
      </c>
      <c r="N27" s="34"/>
      <c r="O27" s="86"/>
      <c r="P27" s="34"/>
    </row>
    <row r="28" spans="1:16" ht="14.25">
      <c r="A28" s="15" t="s">
        <v>42</v>
      </c>
      <c r="B28" s="5">
        <f>L27</f>
        <v>1618.1489999999999</v>
      </c>
      <c r="C28" s="6">
        <v>2572.6219999999998</v>
      </c>
      <c r="D28" s="102">
        <f>(12364.4*2204.622)/1000000</f>
        <v>27.258828256799998</v>
      </c>
      <c r="E28" s="102">
        <f>SUM(B28:D28)</f>
        <v>4218.0298282568001</v>
      </c>
      <c r="F28" s="78"/>
      <c r="G28" s="78">
        <f>K28-J28</f>
        <v>2251.0520845650003</v>
      </c>
      <c r="H28" s="144">
        <v>1096.6990000000001</v>
      </c>
      <c r="I28" s="102">
        <f>G28-H28</f>
        <v>1154.3530845650002</v>
      </c>
      <c r="J28" s="102">
        <f>(126906.9*2204.622)/1000000</f>
        <v>279.78174369179993</v>
      </c>
      <c r="K28" s="102">
        <f>E28-L28</f>
        <v>2530.8338282568002</v>
      </c>
      <c r="L28" s="6">
        <v>1687.1959999999999</v>
      </c>
      <c r="N28" s="34"/>
      <c r="O28" s="86"/>
      <c r="P28" s="34"/>
    </row>
    <row r="29" spans="1:16" ht="14.25">
      <c r="A29" s="15" t="s">
        <v>43</v>
      </c>
      <c r="B29" s="5">
        <f>L28</f>
        <v>1687.1959999999999</v>
      </c>
      <c r="C29" s="6">
        <v>2526.6570000000002</v>
      </c>
      <c r="D29" s="102">
        <f>(13775.3*2204.622)/1000000</f>
        <v>30.369329436599998</v>
      </c>
      <c r="E29" s="102">
        <f>SUM(B29:D29)</f>
        <v>4244.2223294366004</v>
      </c>
      <c r="F29" s="78"/>
      <c r="G29" s="78">
        <f>K29-J29</f>
        <v>1685.0408062530005</v>
      </c>
      <c r="H29" s="144" t="s">
        <v>78</v>
      </c>
      <c r="I29" s="102" t="s">
        <v>78</v>
      </c>
      <c r="J29" s="102">
        <f>(212713.8*2204.622)/1000000</f>
        <v>468.95352318359994</v>
      </c>
      <c r="K29" s="102">
        <f>E29-L29</f>
        <v>2153.9943294366003</v>
      </c>
      <c r="L29" s="6">
        <v>2090.2280000000001</v>
      </c>
      <c r="N29" s="34"/>
      <c r="O29" s="86"/>
      <c r="P29" s="34"/>
    </row>
    <row r="30" spans="1:16" ht="16.5">
      <c r="A30" s="79" t="s">
        <v>79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</row>
    <row r="31" spans="1:16" ht="14.25">
      <c r="A31" s="15" t="s">
        <v>69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6" ht="14.25">
      <c r="A32" s="20" t="s">
        <v>57</v>
      </c>
      <c r="B32" s="36">
        <f>Contents!A18</f>
        <v>45729</v>
      </c>
      <c r="K32" s="34"/>
    </row>
    <row r="33" spans="3:11">
      <c r="E33" s="34"/>
    </row>
    <row r="34" spans="3:11">
      <c r="C34" s="151"/>
      <c r="D34" s="151"/>
      <c r="E34" s="152"/>
      <c r="F34" s="151"/>
      <c r="G34" s="151"/>
      <c r="H34" s="151"/>
      <c r="I34" s="151"/>
      <c r="J34" s="151"/>
      <c r="K34" s="153"/>
    </row>
    <row r="35" spans="3:11">
      <c r="C35" s="151"/>
      <c r="D35" s="151"/>
      <c r="E35" s="152"/>
      <c r="F35" s="151"/>
      <c r="G35" s="151"/>
      <c r="H35" s="151"/>
      <c r="I35" s="151"/>
      <c r="J35" s="151"/>
      <c r="K35" s="153"/>
    </row>
    <row r="36" spans="3:11">
      <c r="C36" s="151"/>
      <c r="D36" s="151"/>
      <c r="E36" s="152"/>
      <c r="F36" s="151"/>
      <c r="G36" s="151"/>
      <c r="H36" s="151"/>
      <c r="I36" s="151"/>
      <c r="J36" s="151"/>
      <c r="K36" s="153"/>
    </row>
    <row r="37" spans="3:11">
      <c r="C37" s="151"/>
      <c r="D37" s="151"/>
      <c r="E37" s="152"/>
      <c r="F37" s="151"/>
      <c r="G37" s="151"/>
      <c r="H37" s="151"/>
      <c r="I37" s="151"/>
      <c r="J37" s="151"/>
      <c r="K37" s="153"/>
    </row>
    <row r="38" spans="3:11">
      <c r="C38" s="151"/>
      <c r="D38" s="151"/>
      <c r="E38" s="152"/>
      <c r="F38" s="151"/>
      <c r="G38" s="151"/>
      <c r="H38" s="151"/>
      <c r="I38" s="151"/>
      <c r="J38" s="151"/>
      <c r="K38" s="153"/>
    </row>
    <row r="39" spans="3:11">
      <c r="C39" s="151"/>
      <c r="D39" s="151"/>
      <c r="E39" s="152"/>
      <c r="F39" s="151"/>
      <c r="G39" s="151"/>
      <c r="H39" s="151"/>
      <c r="I39" s="151"/>
      <c r="J39" s="151"/>
      <c r="K39" s="153"/>
    </row>
    <row r="40" spans="3:11">
      <c r="C40" s="151"/>
      <c r="D40" s="151"/>
      <c r="E40" s="152"/>
      <c r="F40" s="151"/>
      <c r="G40" s="151"/>
      <c r="H40" s="151"/>
      <c r="I40" s="151"/>
      <c r="J40" s="151"/>
      <c r="K40" s="153"/>
    </row>
    <row r="41" spans="3:11">
      <c r="C41" s="151"/>
      <c r="D41" s="151"/>
      <c r="E41" s="152"/>
      <c r="F41" s="151"/>
      <c r="G41" s="151"/>
      <c r="H41" s="151"/>
      <c r="I41" s="151"/>
      <c r="J41" s="151"/>
      <c r="K41" s="153"/>
    </row>
    <row r="42" spans="3:11">
      <c r="C42" s="151"/>
      <c r="D42" s="151"/>
      <c r="E42" s="152"/>
      <c r="F42" s="151"/>
      <c r="G42" s="151"/>
      <c r="H42" s="151"/>
      <c r="I42" s="151"/>
      <c r="J42" s="151"/>
      <c r="K42" s="153"/>
    </row>
    <row r="43" spans="3:11">
      <c r="C43" s="151"/>
      <c r="D43" s="151"/>
      <c r="E43" s="152"/>
      <c r="F43" s="151"/>
      <c r="G43" s="151"/>
      <c r="H43" s="151"/>
      <c r="I43" s="151"/>
      <c r="J43" s="151"/>
      <c r="K43" s="153"/>
    </row>
    <row r="44" spans="3:11">
      <c r="C44" s="151"/>
      <c r="D44" s="151"/>
      <c r="E44" s="152"/>
      <c r="F44" s="151"/>
      <c r="G44" s="151"/>
      <c r="H44" s="151"/>
      <c r="I44" s="151"/>
      <c r="J44" s="151"/>
      <c r="K44" s="153"/>
    </row>
    <row r="45" spans="3:11">
      <c r="C45" s="151"/>
      <c r="D45" s="151"/>
      <c r="E45" s="152"/>
      <c r="F45" s="151"/>
      <c r="G45" s="151"/>
      <c r="H45" s="151"/>
      <c r="I45" s="151"/>
      <c r="J45" s="151"/>
      <c r="K45" s="153"/>
    </row>
    <row r="47" spans="3:11">
      <c r="C47" s="34"/>
      <c r="D47" s="34"/>
      <c r="E47" s="34"/>
      <c r="F47" s="34"/>
      <c r="G47" s="34"/>
      <c r="H47" s="34"/>
      <c r="I47" s="34"/>
      <c r="J47" s="34"/>
      <c r="K47" s="34"/>
    </row>
    <row r="48" spans="3:11">
      <c r="C48" s="34"/>
      <c r="D48" s="34"/>
      <c r="E48" s="34"/>
      <c r="F48" s="34"/>
      <c r="G48" s="34"/>
      <c r="H48" s="34"/>
      <c r="I48" s="34"/>
      <c r="J48" s="34"/>
      <c r="K48" s="34"/>
    </row>
    <row r="49" spans="3:11">
      <c r="C49" s="34"/>
      <c r="D49" s="34"/>
      <c r="E49" s="34"/>
      <c r="F49" s="34"/>
      <c r="G49" s="34"/>
      <c r="H49" s="34"/>
      <c r="I49" s="34"/>
      <c r="J49" s="34"/>
      <c r="K49" s="34"/>
    </row>
    <row r="50" spans="3:11">
      <c r="C50" s="34"/>
      <c r="D50" s="34"/>
      <c r="E50" s="34"/>
      <c r="F50" s="34"/>
      <c r="G50" s="34"/>
      <c r="H50" s="34"/>
      <c r="I50" s="34"/>
      <c r="J50" s="34"/>
      <c r="K50" s="34"/>
    </row>
    <row r="51" spans="3:11">
      <c r="C51" s="34"/>
      <c r="D51" s="34"/>
      <c r="E51" s="34"/>
      <c r="F51" s="34"/>
      <c r="G51" s="34"/>
      <c r="H51" s="34"/>
      <c r="I51" s="34"/>
      <c r="J51" s="34"/>
      <c r="K51" s="34"/>
    </row>
    <row r="52" spans="3:11">
      <c r="C52" s="34"/>
      <c r="D52" s="34"/>
      <c r="E52" s="34"/>
      <c r="F52" s="34"/>
      <c r="G52" s="34"/>
      <c r="H52" s="34"/>
      <c r="I52" s="34"/>
      <c r="J52" s="34"/>
      <c r="K52" s="34"/>
    </row>
    <row r="53" spans="3:11">
      <c r="C53" s="34"/>
      <c r="D53" s="34"/>
      <c r="E53" s="34"/>
      <c r="F53" s="34"/>
      <c r="G53" s="34"/>
      <c r="H53" s="34"/>
      <c r="I53" s="34"/>
      <c r="J53" s="34"/>
      <c r="K53" s="34"/>
    </row>
    <row r="54" spans="3:11">
      <c r="C54" s="34"/>
      <c r="D54" s="34"/>
      <c r="E54" s="34"/>
      <c r="F54" s="34"/>
      <c r="G54" s="34"/>
      <c r="H54" s="34"/>
      <c r="I54" s="34"/>
      <c r="J54" s="34"/>
      <c r="K54" s="34"/>
    </row>
    <row r="55" spans="3:11">
      <c r="C55" s="34"/>
      <c r="D55" s="34"/>
      <c r="E55" s="34"/>
      <c r="F55" s="34"/>
      <c r="G55" s="34"/>
      <c r="H55" s="34"/>
      <c r="I55" s="34"/>
      <c r="J55" s="34"/>
      <c r="K55" s="34"/>
    </row>
    <row r="56" spans="3:11">
      <c r="C56" s="34"/>
      <c r="D56" s="34"/>
      <c r="E56" s="34"/>
      <c r="F56" s="34"/>
      <c r="G56" s="34"/>
      <c r="H56" s="34"/>
      <c r="I56" s="34"/>
      <c r="J56" s="34"/>
      <c r="K56" s="34"/>
    </row>
    <row r="57" spans="3:11">
      <c r="C57" s="34"/>
      <c r="D57" s="34"/>
      <c r="E57" s="34"/>
      <c r="F57" s="34"/>
      <c r="G57" s="34"/>
      <c r="H57" s="34"/>
      <c r="I57" s="34"/>
      <c r="J57" s="34"/>
      <c r="K57" s="34"/>
    </row>
  </sheetData>
  <mergeCells count="3">
    <mergeCell ref="B5:L5"/>
    <mergeCell ref="G2:I2"/>
    <mergeCell ref="B2:E2"/>
  </mergeCells>
  <phoneticPr fontId="57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R54"/>
  <sheetViews>
    <sheetView showGridLines="0" zoomScale="70" zoomScaleNormal="70" workbookViewId="0"/>
  </sheetViews>
  <sheetFormatPr defaultColWidth="9.28515625" defaultRowHeight="12.75"/>
  <cols>
    <col min="1" max="1" width="15.42578125" customWidth="1"/>
    <col min="2" max="2" width="13.28515625" customWidth="1"/>
    <col min="3" max="3" width="12.28515625" customWidth="1"/>
    <col min="4" max="4" width="16.5703125" customWidth="1"/>
    <col min="5" max="5" width="15.42578125" customWidth="1"/>
    <col min="6" max="6" width="11.42578125" customWidth="1"/>
    <col min="7" max="7" width="11.5703125" customWidth="1"/>
    <col min="8" max="8" width="14" customWidth="1"/>
    <col min="9" max="9" width="9.5703125" customWidth="1"/>
    <col min="10" max="11" width="7.5703125" customWidth="1"/>
    <col min="12" max="12" width="10" customWidth="1"/>
    <col min="13" max="13" width="9.5703125" customWidth="1"/>
    <col min="14" max="14" width="9.5703125" bestFit="1" customWidth="1"/>
    <col min="15" max="15" width="8.42578125" bestFit="1" customWidth="1"/>
    <col min="19" max="19" width="17.42578125" bestFit="1" customWidth="1"/>
    <col min="21" max="21" width="28.42578125" bestFit="1" customWidth="1"/>
  </cols>
  <sheetData>
    <row r="1" spans="1:15" ht="14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4.25">
      <c r="A2" s="15"/>
      <c r="B2" s="173" t="s">
        <v>58</v>
      </c>
      <c r="C2" s="173"/>
      <c r="D2" s="173"/>
      <c r="E2" s="173"/>
      <c r="F2" s="69"/>
      <c r="G2" s="173" t="s">
        <v>59</v>
      </c>
      <c r="H2" s="173"/>
      <c r="I2" s="173"/>
      <c r="J2" s="173"/>
      <c r="K2" s="69"/>
      <c r="L2" s="15"/>
      <c r="M2" s="15"/>
      <c r="N2" s="15"/>
      <c r="O2" s="15"/>
    </row>
    <row r="3" spans="1:15" ht="14.25">
      <c r="A3" s="15" t="s">
        <v>18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4.25">
      <c r="A4" s="21" t="s">
        <v>80</v>
      </c>
      <c r="B4" s="23" t="s">
        <v>81</v>
      </c>
      <c r="C4" s="55" t="s">
        <v>27</v>
      </c>
      <c r="D4" s="25" t="s">
        <v>71</v>
      </c>
      <c r="E4" s="23" t="s">
        <v>82</v>
      </c>
      <c r="F4" s="24"/>
      <c r="G4" s="23" t="s">
        <v>83</v>
      </c>
      <c r="H4" s="23" t="s">
        <v>31</v>
      </c>
      <c r="I4" s="23" t="s">
        <v>84</v>
      </c>
      <c r="J4" s="23" t="s">
        <v>85</v>
      </c>
      <c r="K4" s="23" t="s">
        <v>62</v>
      </c>
      <c r="L4" s="15"/>
      <c r="M4" s="15"/>
      <c r="N4" s="15"/>
      <c r="O4" s="15"/>
    </row>
    <row r="5" spans="1:15" ht="14.25">
      <c r="A5" s="15"/>
      <c r="B5" s="176" t="s">
        <v>86</v>
      </c>
      <c r="C5" s="176"/>
      <c r="D5" s="176"/>
      <c r="E5" s="176"/>
      <c r="F5" s="176"/>
      <c r="G5" s="176"/>
      <c r="H5" s="176"/>
      <c r="I5" s="176"/>
      <c r="J5" s="176"/>
      <c r="K5" s="176"/>
      <c r="L5" s="15"/>
      <c r="M5" s="15"/>
      <c r="N5" s="15"/>
      <c r="O5" s="15"/>
    </row>
    <row r="6" spans="1:15" ht="14.25">
      <c r="A6" s="15" t="s">
        <v>35</v>
      </c>
      <c r="B6" s="71">
        <v>395.42099999999999</v>
      </c>
      <c r="C6" s="71">
        <v>4415</v>
      </c>
      <c r="D6" s="122">
        <v>101.14</v>
      </c>
      <c r="E6" s="71">
        <f>B6+C6+D6</f>
        <v>4911.5610000000006</v>
      </c>
      <c r="F6" s="72"/>
      <c r="G6" s="71">
        <v>1389.82</v>
      </c>
      <c r="H6" s="123">
        <v>185.61</v>
      </c>
      <c r="I6" s="71">
        <f>J6-G6-H6</f>
        <v>2950.9960000000005</v>
      </c>
      <c r="J6" s="71">
        <f>E6-K6</f>
        <v>4526.4260000000004</v>
      </c>
      <c r="K6" s="124">
        <v>385.13499999999999</v>
      </c>
      <c r="L6" s="125"/>
      <c r="M6" s="125"/>
      <c r="N6" s="125"/>
      <c r="O6" s="15"/>
    </row>
    <row r="7" spans="1:15" ht="16.5">
      <c r="A7" s="15" t="s">
        <v>36</v>
      </c>
      <c r="B7" s="71">
        <f>K6</f>
        <v>385.13499999999999</v>
      </c>
      <c r="C7" s="71">
        <v>3644</v>
      </c>
      <c r="D7" s="122">
        <v>24.143999999999998</v>
      </c>
      <c r="E7" s="71">
        <f>B7+C7+D7</f>
        <v>4053.279</v>
      </c>
      <c r="F7" s="72"/>
      <c r="G7" s="71">
        <v>1371.923</v>
      </c>
      <c r="H7" s="123">
        <v>389.28699999999998</v>
      </c>
      <c r="I7" s="71">
        <v>1922</v>
      </c>
      <c r="J7" s="71">
        <f>SUM(G7:I7)</f>
        <v>3683.21</v>
      </c>
      <c r="K7" s="71">
        <f>E7-J7</f>
        <v>370.06899999999996</v>
      </c>
      <c r="L7" s="125"/>
      <c r="M7" s="15"/>
      <c r="N7" s="125"/>
      <c r="O7" s="15"/>
    </row>
    <row r="8" spans="1:15" ht="16.5">
      <c r="A8" s="14" t="s">
        <v>37</v>
      </c>
      <c r="B8" s="167">
        <f>K7</f>
        <v>370.06899999999996</v>
      </c>
      <c r="C8" s="167">
        <v>4401</v>
      </c>
      <c r="D8" s="168">
        <v>50</v>
      </c>
      <c r="E8" s="167">
        <f>B8+C8+D8</f>
        <v>4821.0689999999995</v>
      </c>
      <c r="F8" s="169"/>
      <c r="G8" s="167">
        <v>1300</v>
      </c>
      <c r="H8" s="170">
        <v>250</v>
      </c>
      <c r="I8" s="167">
        <v>2821</v>
      </c>
      <c r="J8" s="167">
        <f>SUM(G8:I8)</f>
        <v>4371</v>
      </c>
      <c r="K8" s="167">
        <f>E8-J8</f>
        <v>450.06899999999951</v>
      </c>
      <c r="L8" s="15"/>
      <c r="M8" s="15"/>
      <c r="N8" s="15"/>
      <c r="O8" s="15"/>
    </row>
    <row r="9" spans="1:15" ht="16.5">
      <c r="A9" s="40" t="s">
        <v>87</v>
      </c>
      <c r="B9" s="15"/>
      <c r="C9" s="70"/>
      <c r="D9" s="70"/>
      <c r="E9" s="70"/>
      <c r="F9" s="70"/>
      <c r="G9" s="73"/>
      <c r="H9" s="70"/>
      <c r="I9" s="70"/>
      <c r="J9" s="70"/>
      <c r="K9" s="15"/>
      <c r="L9" s="15"/>
      <c r="M9" s="15"/>
      <c r="N9" s="15"/>
      <c r="O9" s="15"/>
    </row>
    <row r="10" spans="1:15" ht="14.25">
      <c r="A10" s="15" t="s">
        <v>88</v>
      </c>
      <c r="B10" s="28"/>
      <c r="C10" s="33"/>
      <c r="D10" s="15"/>
      <c r="E10" s="28"/>
      <c r="F10" s="28"/>
      <c r="G10" s="28"/>
      <c r="H10" s="28"/>
      <c r="I10" s="28"/>
      <c r="J10" s="28"/>
      <c r="K10" s="15"/>
      <c r="L10" s="15"/>
      <c r="M10" s="15"/>
      <c r="N10" s="15"/>
      <c r="O10" s="15"/>
    </row>
    <row r="11" spans="1:15" ht="14.25">
      <c r="A11" s="15" t="s">
        <v>89</v>
      </c>
      <c r="B11" s="28"/>
      <c r="C11" s="33"/>
      <c r="D11" s="15"/>
      <c r="E11" s="28"/>
      <c r="F11" s="28"/>
      <c r="G11" s="28"/>
      <c r="H11" s="28"/>
      <c r="I11" s="28"/>
      <c r="J11" s="28"/>
      <c r="K11" s="15"/>
      <c r="L11" s="15"/>
      <c r="M11" s="15"/>
      <c r="N11" s="15"/>
      <c r="O11" s="15"/>
    </row>
    <row r="12" spans="1:15" ht="14.25">
      <c r="A12" s="15"/>
      <c r="B12" s="28"/>
      <c r="C12" s="33"/>
      <c r="D12" s="15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15"/>
    </row>
    <row r="13" spans="1:15" ht="14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4.25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4.25">
      <c r="A15" s="15"/>
      <c r="B15" s="173" t="s">
        <v>58</v>
      </c>
      <c r="C15" s="173"/>
      <c r="D15" s="173"/>
      <c r="E15" s="173"/>
      <c r="F15" s="15"/>
      <c r="G15" s="173" t="s">
        <v>59</v>
      </c>
      <c r="H15" s="173"/>
      <c r="I15" s="173"/>
      <c r="J15" s="15"/>
      <c r="K15" s="15"/>
      <c r="L15" s="15"/>
      <c r="M15" s="15"/>
      <c r="N15" s="15"/>
      <c r="O15" s="15"/>
    </row>
    <row r="16" spans="1:15" ht="14.25">
      <c r="A16" s="15" t="s">
        <v>18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4.25">
      <c r="A17" s="21" t="s">
        <v>61</v>
      </c>
      <c r="B17" s="23" t="s">
        <v>62</v>
      </c>
      <c r="C17" s="55" t="s">
        <v>27</v>
      </c>
      <c r="D17" s="25" t="s">
        <v>71</v>
      </c>
      <c r="E17" s="23" t="s">
        <v>85</v>
      </c>
      <c r="F17" s="24"/>
      <c r="G17" s="71" t="s">
        <v>90</v>
      </c>
      <c r="H17" s="23" t="s">
        <v>31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25">
      <c r="A18" s="15"/>
      <c r="B18" s="176" t="s">
        <v>91</v>
      </c>
      <c r="C18" s="176"/>
      <c r="D18" s="176"/>
      <c r="E18" s="176"/>
      <c r="F18" s="176"/>
      <c r="G18" s="176"/>
      <c r="H18" s="176"/>
      <c r="I18" s="176"/>
      <c r="J18" s="176"/>
      <c r="K18" s="15"/>
      <c r="L18" s="15"/>
      <c r="M18" s="15"/>
      <c r="N18" s="15"/>
      <c r="O18" s="15"/>
    </row>
    <row r="19" spans="1:15" ht="14.25">
      <c r="A19" s="15" t="s">
        <v>35</v>
      </c>
      <c r="B19" s="71">
        <v>22.315999999999999</v>
      </c>
      <c r="C19" s="123">
        <v>589.51700000000005</v>
      </c>
      <c r="D19" s="122">
        <v>0</v>
      </c>
      <c r="E19" s="123">
        <f>B19+C19+D19</f>
        <v>611.83300000000008</v>
      </c>
      <c r="F19" s="72"/>
      <c r="G19" s="123">
        <f>E19-J19-H19</f>
        <v>526.202</v>
      </c>
      <c r="H19" s="123">
        <v>53.07</v>
      </c>
      <c r="I19" s="123">
        <f>SUM(G19:H19)</f>
        <v>579.27200000000005</v>
      </c>
      <c r="J19" s="71">
        <v>32.561</v>
      </c>
      <c r="K19" s="15"/>
      <c r="L19" s="125"/>
      <c r="M19" s="15"/>
      <c r="N19" s="15"/>
      <c r="O19" s="15"/>
    </row>
    <row r="20" spans="1:15" ht="16.5">
      <c r="A20" s="15" t="s">
        <v>36</v>
      </c>
      <c r="B20" s="71">
        <f>J19</f>
        <v>32.561</v>
      </c>
      <c r="C20" s="123">
        <v>568.43899999999996</v>
      </c>
      <c r="D20" s="122">
        <v>0.05</v>
      </c>
      <c r="E20" s="123">
        <f>B20+C20+D20</f>
        <v>601.04999999999995</v>
      </c>
      <c r="F20" s="72"/>
      <c r="G20" s="123">
        <f>E20-J20-H20</f>
        <v>515.82099999999991</v>
      </c>
      <c r="H20" s="123">
        <v>50.72</v>
      </c>
      <c r="I20" s="123">
        <f>SUM(G20:H20)</f>
        <v>566.54099999999994</v>
      </c>
      <c r="J20" s="71">
        <v>34.509</v>
      </c>
      <c r="K20" s="15"/>
      <c r="L20" s="125"/>
      <c r="M20" s="15"/>
      <c r="N20" s="15"/>
      <c r="O20" s="15"/>
    </row>
    <row r="21" spans="1:15" ht="16.5">
      <c r="A21" s="14" t="s">
        <v>37</v>
      </c>
      <c r="B21" s="167">
        <f>J20</f>
        <v>34.509</v>
      </c>
      <c r="C21" s="170">
        <v>600</v>
      </c>
      <c r="D21" s="168">
        <v>0</v>
      </c>
      <c r="E21" s="170">
        <f>B21+C21+D21</f>
        <v>634.50900000000001</v>
      </c>
      <c r="F21" s="169"/>
      <c r="G21" s="170">
        <v>545</v>
      </c>
      <c r="H21" s="170">
        <v>50</v>
      </c>
      <c r="I21" s="170">
        <f>SUM(G21:H21)</f>
        <v>595</v>
      </c>
      <c r="J21" s="167">
        <f>E21-I21</f>
        <v>39.509000000000015</v>
      </c>
      <c r="K21" s="15"/>
      <c r="L21" s="15"/>
      <c r="M21" s="15"/>
      <c r="N21" s="15"/>
      <c r="O21" s="15"/>
    </row>
    <row r="22" spans="1:15" ht="16.5">
      <c r="A22" s="40" t="s">
        <v>87</v>
      </c>
      <c r="B22" s="15"/>
      <c r="C22" s="70"/>
      <c r="D22" s="70"/>
      <c r="E22" s="70"/>
      <c r="F22" s="70"/>
      <c r="G22" s="70"/>
      <c r="H22" s="70"/>
      <c r="I22" s="15"/>
      <c r="J22" s="15"/>
      <c r="K22" s="15"/>
      <c r="L22" s="15"/>
      <c r="M22" s="15"/>
      <c r="N22" s="15"/>
      <c r="O22" s="15"/>
    </row>
    <row r="23" spans="1:15" ht="14.25">
      <c r="A23" s="15" t="s">
        <v>92</v>
      </c>
      <c r="B23" s="72"/>
      <c r="C23" s="72"/>
      <c r="D23" s="72"/>
      <c r="E23" s="72"/>
      <c r="F23" s="72"/>
      <c r="G23" s="72"/>
      <c r="H23" s="72"/>
      <c r="I23" s="15"/>
      <c r="J23" s="15"/>
      <c r="K23" s="15"/>
      <c r="L23" s="15"/>
      <c r="M23" s="15"/>
      <c r="N23" s="15"/>
      <c r="O23" s="15"/>
    </row>
    <row r="24" spans="1:15" ht="14.25">
      <c r="A24" s="15"/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  <c r="M24" s="15"/>
      <c r="N24" s="15"/>
      <c r="O24" s="15"/>
    </row>
    <row r="25" spans="1:15" ht="14.25">
      <c r="A25" s="15"/>
      <c r="B25" s="28"/>
      <c r="C25" s="33"/>
      <c r="D25" s="28"/>
      <c r="E25" s="28"/>
      <c r="F25" s="28"/>
      <c r="G25" s="28"/>
      <c r="H25" s="28"/>
      <c r="I25" s="15"/>
      <c r="J25" s="15"/>
      <c r="K25" s="15"/>
      <c r="L25" s="15"/>
      <c r="M25" s="15"/>
      <c r="N25" s="15"/>
      <c r="O25" s="15"/>
    </row>
    <row r="26" spans="1:15" ht="14.25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4.25">
      <c r="A27" s="15"/>
      <c r="B27" s="173" t="s">
        <v>58</v>
      </c>
      <c r="C27" s="173"/>
      <c r="D27" s="173"/>
      <c r="E27" s="173"/>
      <c r="F27" s="15"/>
      <c r="G27" s="173" t="s">
        <v>59</v>
      </c>
      <c r="H27" s="173"/>
      <c r="I27" s="173"/>
      <c r="J27" s="15"/>
      <c r="K27" s="15"/>
      <c r="L27" s="15"/>
      <c r="M27" s="15"/>
      <c r="N27" s="15"/>
      <c r="O27" s="15"/>
    </row>
    <row r="28" spans="1:15" ht="14.25">
      <c r="A28" s="15" t="s">
        <v>18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4.25">
      <c r="A29" s="21" t="s">
        <v>61</v>
      </c>
      <c r="B29" s="23" t="s">
        <v>62</v>
      </c>
      <c r="C29" s="23" t="s">
        <v>27</v>
      </c>
      <c r="D29" s="25" t="s">
        <v>71</v>
      </c>
      <c r="E29" s="23" t="s">
        <v>85</v>
      </c>
      <c r="F29" s="24"/>
      <c r="G29" s="23" t="s">
        <v>64</v>
      </c>
      <c r="H29" s="23" t="s">
        <v>31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25">
      <c r="A30" s="15"/>
      <c r="B30" s="176" t="s">
        <v>75</v>
      </c>
      <c r="C30" s="176"/>
      <c r="D30" s="176"/>
      <c r="E30" s="176"/>
      <c r="F30" s="176"/>
      <c r="G30" s="176"/>
      <c r="H30" s="176"/>
      <c r="I30" s="176"/>
      <c r="J30" s="176"/>
      <c r="K30" s="15"/>
      <c r="L30" s="15"/>
      <c r="M30" s="15"/>
      <c r="N30" s="15"/>
      <c r="O30" s="15"/>
    </row>
    <row r="31" spans="1:15" ht="14.25">
      <c r="A31" s="15" t="s">
        <v>35</v>
      </c>
      <c r="B31" s="122">
        <v>49.698</v>
      </c>
      <c r="C31" s="123">
        <v>365.27800000000002</v>
      </c>
      <c r="D31" s="122">
        <v>15.945374023673997</v>
      </c>
      <c r="E31" s="126">
        <f>B31+C31+D31</f>
        <v>430.92137402367399</v>
      </c>
      <c r="F31" s="72"/>
      <c r="G31" s="123">
        <v>309.67673674592402</v>
      </c>
      <c r="H31" s="123">
        <v>71.126637277750007</v>
      </c>
      <c r="I31" s="123">
        <f>SUM(G31:H31)</f>
        <v>380.803374023674</v>
      </c>
      <c r="J31" s="123">
        <f>E31-I31</f>
        <v>50.117999999999995</v>
      </c>
      <c r="K31" s="15"/>
      <c r="L31" s="125"/>
      <c r="M31" s="15"/>
      <c r="N31" s="15"/>
      <c r="O31" s="15"/>
    </row>
    <row r="32" spans="1:15" ht="16.5">
      <c r="A32" s="15" t="s">
        <v>36</v>
      </c>
      <c r="B32" s="122">
        <f>J31</f>
        <v>50.117999999999995</v>
      </c>
      <c r="C32" s="123">
        <v>358.70499999999998</v>
      </c>
      <c r="D32" s="122">
        <v>1.9690000000000001</v>
      </c>
      <c r="E32" s="126">
        <f>B32+C32+D32</f>
        <v>410.79199999999997</v>
      </c>
      <c r="F32" s="72"/>
      <c r="G32" s="123">
        <v>338.37202418091601</v>
      </c>
      <c r="H32" s="123">
        <v>22.446000000000002</v>
      </c>
      <c r="I32" s="123">
        <f>SUM(G32:H32)</f>
        <v>360.81802418091604</v>
      </c>
      <c r="J32" s="123">
        <v>49.993000000000002</v>
      </c>
      <c r="K32" s="15"/>
      <c r="L32" s="15"/>
      <c r="M32" s="15"/>
      <c r="N32" s="15"/>
      <c r="O32" s="15"/>
    </row>
    <row r="33" spans="1:18" ht="16.5">
      <c r="A33" s="14" t="s">
        <v>37</v>
      </c>
      <c r="B33" s="168">
        <f>J32</f>
        <v>49.993000000000002</v>
      </c>
      <c r="C33" s="170">
        <v>330</v>
      </c>
      <c r="D33" s="168">
        <v>5</v>
      </c>
      <c r="E33" s="171">
        <f>B33+C33+D33</f>
        <v>384.99299999999999</v>
      </c>
      <c r="F33" s="169"/>
      <c r="G33" s="170">
        <v>310</v>
      </c>
      <c r="H33" s="170">
        <v>25</v>
      </c>
      <c r="I33" s="170">
        <f>SUM(G33:H33)</f>
        <v>335</v>
      </c>
      <c r="J33" s="170">
        <f>E33-I33</f>
        <v>49.992999999999995</v>
      </c>
      <c r="K33" s="15"/>
      <c r="L33" s="15"/>
      <c r="M33" s="15"/>
      <c r="N33" s="15"/>
      <c r="O33" s="15"/>
    </row>
    <row r="34" spans="1:18" ht="16.5">
      <c r="A34" s="40" t="s">
        <v>87</v>
      </c>
      <c r="B34" s="15"/>
      <c r="C34" s="70"/>
      <c r="D34" s="70"/>
      <c r="E34" s="70"/>
      <c r="F34" s="70"/>
      <c r="G34" s="70"/>
      <c r="H34" s="70"/>
      <c r="I34" s="15"/>
      <c r="J34" s="15"/>
      <c r="K34" s="15"/>
      <c r="L34" s="15"/>
      <c r="M34" s="15"/>
      <c r="N34" s="15"/>
      <c r="O34" s="15"/>
      <c r="R34" s="108"/>
    </row>
    <row r="35" spans="1:18" ht="14.25">
      <c r="A35" s="15" t="s">
        <v>92</v>
      </c>
      <c r="B35" s="28"/>
      <c r="C35" s="33"/>
      <c r="D35" s="28"/>
      <c r="E35" s="28"/>
      <c r="F35" s="28"/>
      <c r="G35" s="28"/>
      <c r="H35" s="28"/>
      <c r="I35" s="15"/>
      <c r="J35" s="15"/>
      <c r="K35" s="15"/>
      <c r="L35" s="15"/>
      <c r="M35" s="15"/>
      <c r="N35" s="15"/>
      <c r="O35" s="15"/>
      <c r="R35" s="108"/>
    </row>
    <row r="36" spans="1:18" ht="14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8" ht="14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8" ht="14.25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8" ht="14.25">
      <c r="A39" s="15"/>
      <c r="B39" s="173" t="s">
        <v>14</v>
      </c>
      <c r="C39" s="173"/>
      <c r="D39" s="17" t="s">
        <v>15</v>
      </c>
      <c r="E39" s="173" t="s">
        <v>16</v>
      </c>
      <c r="F39" s="173"/>
      <c r="G39" s="173"/>
      <c r="H39" s="173"/>
      <c r="I39" s="15"/>
      <c r="J39" s="173" t="s">
        <v>59</v>
      </c>
      <c r="K39" s="173"/>
      <c r="L39" s="173"/>
      <c r="M39" s="173"/>
      <c r="N39" s="173"/>
      <c r="O39" s="69"/>
    </row>
    <row r="40" spans="1:18" ht="14.25">
      <c r="A40" s="15" t="s">
        <v>18</v>
      </c>
      <c r="B40" s="17" t="s">
        <v>19</v>
      </c>
      <c r="C40" s="17" t="s">
        <v>20</v>
      </c>
      <c r="D40" s="15"/>
      <c r="E40" s="17" t="s">
        <v>70</v>
      </c>
      <c r="F40" s="17"/>
      <c r="G40" s="17"/>
      <c r="H40" s="17"/>
      <c r="I40" s="15"/>
      <c r="J40" s="52" t="s">
        <v>90</v>
      </c>
      <c r="K40" s="17"/>
      <c r="L40" s="17" t="s">
        <v>23</v>
      </c>
      <c r="M40" s="17"/>
      <c r="N40" s="17"/>
      <c r="O40" s="17" t="s">
        <v>60</v>
      </c>
    </row>
    <row r="41" spans="1:18" ht="14.25">
      <c r="A41" s="21" t="s">
        <v>80</v>
      </c>
      <c r="B41" s="22"/>
      <c r="C41" s="22"/>
      <c r="D41" s="22"/>
      <c r="E41" s="23" t="s">
        <v>62</v>
      </c>
      <c r="F41" s="23" t="s">
        <v>27</v>
      </c>
      <c r="G41" s="23" t="s">
        <v>71</v>
      </c>
      <c r="H41" s="23" t="s">
        <v>85</v>
      </c>
      <c r="I41" s="23"/>
      <c r="J41" s="23" t="s">
        <v>93</v>
      </c>
      <c r="K41" s="23" t="s">
        <v>83</v>
      </c>
      <c r="L41" s="23" t="s">
        <v>30</v>
      </c>
      <c r="M41" s="25" t="s">
        <v>31</v>
      </c>
      <c r="N41" s="23" t="s">
        <v>63</v>
      </c>
      <c r="O41" s="23" t="s">
        <v>66</v>
      </c>
    </row>
    <row r="42" spans="1:18" ht="14.25">
      <c r="A42" s="15"/>
      <c r="B42" s="177" t="s">
        <v>94</v>
      </c>
      <c r="C42" s="178"/>
      <c r="D42" s="74" t="s">
        <v>95</v>
      </c>
      <c r="E42" s="179" t="s">
        <v>96</v>
      </c>
      <c r="F42" s="176"/>
      <c r="G42" s="176"/>
      <c r="H42" s="176"/>
      <c r="I42" s="176"/>
      <c r="J42" s="176"/>
      <c r="K42" s="176"/>
      <c r="L42" s="176"/>
      <c r="M42" s="176"/>
      <c r="N42" s="176"/>
      <c r="O42" s="178"/>
    </row>
    <row r="43" spans="1:18" ht="14.25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8" ht="14.25">
      <c r="A44" s="15" t="s">
        <v>35</v>
      </c>
      <c r="B44" s="71">
        <v>1448.5</v>
      </c>
      <c r="C44" s="71">
        <v>1381.4</v>
      </c>
      <c r="D44" s="71">
        <f>F44*1000/C44</f>
        <v>4011.7069639496162</v>
      </c>
      <c r="E44" s="71">
        <v>2360.2570000000001</v>
      </c>
      <c r="F44" s="71">
        <v>5541.7719999999999</v>
      </c>
      <c r="G44" s="123">
        <v>103.13172545378339</v>
      </c>
      <c r="H44" s="71">
        <f>SUM(E44:G44)</f>
        <v>8005.1607254537839</v>
      </c>
      <c r="I44" s="71"/>
      <c r="J44" s="71">
        <v>3298.5</v>
      </c>
      <c r="K44" s="71">
        <v>794.70279860000005</v>
      </c>
      <c r="L44" s="123">
        <f>N44-J44-K44-M44</f>
        <v>681.75480869735929</v>
      </c>
      <c r="M44" s="123">
        <v>1197.1171181564243</v>
      </c>
      <c r="N44" s="71">
        <f>H44-O44</f>
        <v>5972.0747254537837</v>
      </c>
      <c r="O44" s="71">
        <v>2033.086</v>
      </c>
      <c r="P44" s="108"/>
      <c r="Q44" s="108"/>
    </row>
    <row r="45" spans="1:18" ht="16.5">
      <c r="A45" s="15" t="s">
        <v>36</v>
      </c>
      <c r="B45" s="71">
        <v>1645</v>
      </c>
      <c r="C45" s="71">
        <v>1557</v>
      </c>
      <c r="D45" s="71">
        <f>F45*1000/C45</f>
        <v>3774.9261400128453</v>
      </c>
      <c r="E45" s="71">
        <f>O44</f>
        <v>2033.086</v>
      </c>
      <c r="F45" s="71">
        <v>5877.56</v>
      </c>
      <c r="G45" s="123">
        <v>104.31366757849419</v>
      </c>
      <c r="H45" s="71">
        <f>SUM(E45:G45)</f>
        <v>8014.9596675784951</v>
      </c>
      <c r="I45" s="71"/>
      <c r="J45" s="71">
        <v>3123.4</v>
      </c>
      <c r="K45" s="71">
        <v>654.23564369999997</v>
      </c>
      <c r="L45" s="123">
        <f>N45-J45-K45-M45</f>
        <v>1301.3553895999737</v>
      </c>
      <c r="M45" s="123">
        <v>1455.3466342785212</v>
      </c>
      <c r="N45" s="71">
        <f>H45-O45</f>
        <v>6534.3376675784948</v>
      </c>
      <c r="O45" s="71">
        <f>1480.622</f>
        <v>1480.6220000000001</v>
      </c>
      <c r="P45" s="108"/>
      <c r="Q45" s="108"/>
    </row>
    <row r="46" spans="1:18" ht="16.5">
      <c r="A46" s="14" t="s">
        <v>37</v>
      </c>
      <c r="B46" s="167">
        <v>1801</v>
      </c>
      <c r="C46" s="167">
        <v>1758</v>
      </c>
      <c r="D46" s="167">
        <f>F46*1000/C46</f>
        <v>3667.8156996587031</v>
      </c>
      <c r="E46" s="167">
        <f>O45</f>
        <v>1480.6220000000001</v>
      </c>
      <c r="F46" s="167">
        <v>6448.02</v>
      </c>
      <c r="G46" s="170">
        <v>100</v>
      </c>
      <c r="H46" s="167">
        <f>SUM(E46:G46)</f>
        <v>8028.6420000000007</v>
      </c>
      <c r="I46" s="167"/>
      <c r="J46" s="167">
        <v>3118</v>
      </c>
      <c r="K46" s="167">
        <v>775</v>
      </c>
      <c r="L46" s="170">
        <v>1287.5</v>
      </c>
      <c r="M46" s="170">
        <v>1200</v>
      </c>
      <c r="N46" s="167">
        <f>SUM(J46:M46)</f>
        <v>6380.5</v>
      </c>
      <c r="O46" s="167">
        <f>H46-N46</f>
        <v>1648.1420000000007</v>
      </c>
      <c r="P46" s="108"/>
      <c r="Q46" s="108"/>
    </row>
    <row r="47" spans="1:18" ht="16.5">
      <c r="A47" s="40" t="s">
        <v>87</v>
      </c>
      <c r="B47" s="15"/>
      <c r="C47" s="70"/>
      <c r="D47" s="70"/>
      <c r="E47" s="70"/>
      <c r="F47" s="70"/>
      <c r="G47" s="70"/>
      <c r="H47" s="70"/>
      <c r="I47" s="15"/>
      <c r="J47" s="15"/>
      <c r="K47" s="15"/>
      <c r="L47" s="15"/>
      <c r="M47" s="15"/>
      <c r="N47" s="15"/>
      <c r="O47" s="15"/>
    </row>
    <row r="48" spans="1:18" ht="14.25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25">
      <c r="A49" s="15" t="s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4.25">
      <c r="A50" s="20" t="s">
        <v>57</v>
      </c>
      <c r="B50" s="75">
        <f>Contents!A18</f>
        <v>45729</v>
      </c>
      <c r="C50" s="15"/>
      <c r="D50" s="15"/>
      <c r="E50" s="15"/>
      <c r="F50" s="15"/>
      <c r="G50" s="15"/>
      <c r="H50" s="15"/>
      <c r="I50" s="15"/>
      <c r="J50" s="125"/>
      <c r="K50" s="15"/>
      <c r="L50" s="15"/>
      <c r="M50" s="15"/>
      <c r="N50" s="15"/>
      <c r="O50" s="15"/>
    </row>
    <row r="51" spans="1:15" ht="44.65" customHeight="1">
      <c r="A51" s="76"/>
      <c r="B51" s="77"/>
      <c r="C51" s="77"/>
      <c r="D51" s="77"/>
      <c r="E51" s="77"/>
      <c r="F51" s="77"/>
      <c r="G51" s="77"/>
      <c r="H51" s="77"/>
      <c r="I51" s="77"/>
      <c r="J51" s="89"/>
      <c r="K51" s="77"/>
      <c r="L51" s="77"/>
      <c r="M51" s="77"/>
      <c r="N51" s="77"/>
      <c r="O51" s="77"/>
    </row>
    <row r="52" spans="1:15" ht="15.75">
      <c r="G52" s="60"/>
      <c r="H52" s="60"/>
    </row>
    <row r="53" spans="1:15" ht="15.75">
      <c r="G53" s="60"/>
      <c r="H53" s="60"/>
    </row>
    <row r="54" spans="1:15" ht="15.75">
      <c r="G54" s="60"/>
      <c r="H54" s="60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57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44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28515625" defaultRowHeight="12.75"/>
  <cols>
    <col min="1" max="1" width="11.5703125" customWidth="1"/>
    <col min="2" max="2" width="18.7109375" bestFit="1" customWidth="1"/>
    <col min="3" max="3" width="22.28515625" bestFit="1" customWidth="1"/>
    <col min="4" max="4" width="23.7109375" customWidth="1"/>
    <col min="5" max="5" width="25.42578125" customWidth="1"/>
    <col min="6" max="6" width="16.5703125" bestFit="1" customWidth="1"/>
    <col min="7" max="7" width="18.71093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10" ht="15.6" customHeight="1">
      <c r="A3" s="14" t="s">
        <v>105</v>
      </c>
      <c r="B3" s="24"/>
      <c r="C3" s="44"/>
      <c r="D3" s="44"/>
      <c r="E3" s="44"/>
      <c r="F3" s="44"/>
      <c r="G3" s="44"/>
    </row>
    <row r="4" spans="1:10" ht="14.25">
      <c r="A4" s="45"/>
      <c r="B4" s="46" t="s">
        <v>106</v>
      </c>
      <c r="C4" s="46" t="s">
        <v>107</v>
      </c>
      <c r="D4" s="46" t="s">
        <v>108</v>
      </c>
      <c r="E4" s="46" t="s">
        <v>108</v>
      </c>
      <c r="F4" s="46" t="s">
        <v>109</v>
      </c>
      <c r="G4" s="46" t="s">
        <v>106</v>
      </c>
    </row>
    <row r="5" spans="1:10" ht="14.25">
      <c r="A5" s="15"/>
      <c r="B5" s="15"/>
      <c r="C5" s="15"/>
      <c r="D5" s="17"/>
      <c r="E5" s="15"/>
      <c r="F5" s="15"/>
      <c r="G5" s="15"/>
    </row>
    <row r="6" spans="1:10" ht="14.25">
      <c r="A6" s="15" t="s">
        <v>110</v>
      </c>
      <c r="B6" s="47">
        <v>11.3</v>
      </c>
      <c r="C6" s="47">
        <v>161</v>
      </c>
      <c r="D6" s="47">
        <v>23.3</v>
      </c>
      <c r="E6" s="47">
        <v>19.3</v>
      </c>
      <c r="F6" s="47">
        <v>22.5</v>
      </c>
      <c r="G6" s="47">
        <v>12.2</v>
      </c>
      <c r="J6" s="61"/>
    </row>
    <row r="7" spans="1:10" ht="14.25">
      <c r="A7" s="15" t="s">
        <v>111</v>
      </c>
      <c r="B7" s="47">
        <v>12.5</v>
      </c>
      <c r="C7" s="47">
        <v>260</v>
      </c>
      <c r="D7" s="47">
        <v>29.1</v>
      </c>
      <c r="E7" s="47">
        <v>24</v>
      </c>
      <c r="F7" s="47">
        <v>31.8</v>
      </c>
      <c r="G7" s="47">
        <v>13.9</v>
      </c>
      <c r="J7" s="61"/>
    </row>
    <row r="8" spans="1:10" ht="14.25">
      <c r="A8" s="15" t="s">
        <v>112</v>
      </c>
      <c r="B8" s="47">
        <v>14.4</v>
      </c>
      <c r="C8" s="47">
        <v>252</v>
      </c>
      <c r="D8" s="47">
        <v>25.4</v>
      </c>
      <c r="E8" s="47">
        <v>26.5</v>
      </c>
      <c r="F8" s="47">
        <v>30.1</v>
      </c>
      <c r="G8" s="47">
        <v>13.8</v>
      </c>
      <c r="J8" s="61"/>
    </row>
    <row r="9" spans="1:10" ht="14.25">
      <c r="A9" s="15" t="s">
        <v>113</v>
      </c>
      <c r="B9" s="47">
        <v>13</v>
      </c>
      <c r="C9" s="47">
        <v>246</v>
      </c>
      <c r="D9" s="47">
        <v>21.4</v>
      </c>
      <c r="E9" s="47">
        <v>20.6</v>
      </c>
      <c r="F9" s="47">
        <v>24.9</v>
      </c>
      <c r="G9" s="47">
        <v>13.8</v>
      </c>
      <c r="J9" s="61"/>
    </row>
    <row r="10" spans="1:10" ht="14.25">
      <c r="A10" s="15" t="s">
        <v>114</v>
      </c>
      <c r="B10" s="47">
        <v>10.1</v>
      </c>
      <c r="C10" s="47">
        <v>194</v>
      </c>
      <c r="D10" s="47">
        <v>21.7</v>
      </c>
      <c r="E10" s="47">
        <v>16.899999999999999</v>
      </c>
      <c r="F10" s="47">
        <v>22</v>
      </c>
      <c r="G10" s="47">
        <v>11.8</v>
      </c>
      <c r="J10" s="61"/>
    </row>
    <row r="11" spans="1:10" ht="14.25">
      <c r="A11" s="15" t="s">
        <v>115</v>
      </c>
      <c r="B11" s="47">
        <v>8.9499999999999993</v>
      </c>
      <c r="C11" s="47">
        <v>227</v>
      </c>
      <c r="D11" s="47">
        <v>19.600000000000001</v>
      </c>
      <c r="E11" s="47">
        <v>15.6</v>
      </c>
      <c r="F11" s="47">
        <v>19.3</v>
      </c>
      <c r="G11" s="47">
        <v>8.9499999999999993</v>
      </c>
      <c r="J11" s="61"/>
    </row>
    <row r="12" spans="1:10" ht="14.25">
      <c r="A12" s="15" t="s">
        <v>116</v>
      </c>
      <c r="B12" s="47">
        <v>9.4700000000000006</v>
      </c>
      <c r="C12" s="47">
        <v>195</v>
      </c>
      <c r="D12" s="47">
        <v>17.399999999999999</v>
      </c>
      <c r="E12" s="47">
        <v>16.600000000000001</v>
      </c>
      <c r="F12" s="47">
        <v>19.7</v>
      </c>
      <c r="G12" s="47">
        <v>8</v>
      </c>
      <c r="J12" s="61"/>
    </row>
    <row r="13" spans="1:10" ht="14.25">
      <c r="A13" s="15" t="s">
        <v>117</v>
      </c>
      <c r="B13" s="47">
        <v>9.33</v>
      </c>
      <c r="C13" s="47">
        <v>142</v>
      </c>
      <c r="D13" s="47">
        <v>17.2</v>
      </c>
      <c r="E13" s="47">
        <v>17.5</v>
      </c>
      <c r="F13" s="47">
        <v>22.9</v>
      </c>
      <c r="G13" s="47">
        <v>9.5299999999999994</v>
      </c>
      <c r="J13" s="61"/>
    </row>
    <row r="14" spans="1:10" ht="14.25">
      <c r="A14" s="15" t="s">
        <v>118</v>
      </c>
      <c r="B14" s="47">
        <v>8.48</v>
      </c>
      <c r="C14" s="47">
        <v>155</v>
      </c>
      <c r="D14" s="47">
        <v>17.399999999999999</v>
      </c>
      <c r="E14" s="47">
        <v>15.8</v>
      </c>
      <c r="F14" s="47">
        <v>21.5</v>
      </c>
      <c r="G14" s="47">
        <v>9.89</v>
      </c>
      <c r="J14" s="61"/>
    </row>
    <row r="15" spans="1:10" ht="14.25">
      <c r="A15" s="15" t="s">
        <v>119</v>
      </c>
      <c r="B15" s="47">
        <v>8.57</v>
      </c>
      <c r="C15" s="47">
        <v>161</v>
      </c>
      <c r="D15" s="47">
        <v>19.5</v>
      </c>
      <c r="E15" s="47">
        <v>14.8</v>
      </c>
      <c r="F15" s="47">
        <v>20.5</v>
      </c>
      <c r="G15" s="47">
        <v>9.15</v>
      </c>
      <c r="J15" s="61"/>
    </row>
    <row r="16" spans="1:10" ht="14.25">
      <c r="A16" s="15" t="s">
        <v>120</v>
      </c>
      <c r="B16" s="47">
        <v>10.8</v>
      </c>
      <c r="C16" s="47">
        <v>194</v>
      </c>
      <c r="D16" s="47">
        <v>21.3</v>
      </c>
      <c r="E16" s="47">
        <v>18.400000000000002</v>
      </c>
      <c r="F16" s="47">
        <v>21</v>
      </c>
      <c r="G16" s="47">
        <v>11.1</v>
      </c>
      <c r="J16" s="61"/>
    </row>
    <row r="17" spans="1:10" ht="14.25">
      <c r="A17" s="15" t="s">
        <v>121</v>
      </c>
      <c r="B17" s="47">
        <v>13.3</v>
      </c>
      <c r="C17" s="47">
        <v>243</v>
      </c>
      <c r="D17" s="91">
        <v>32.9</v>
      </c>
      <c r="E17" s="47">
        <v>32.9</v>
      </c>
      <c r="F17" s="47">
        <v>24.3</v>
      </c>
      <c r="G17" s="47">
        <v>25.9</v>
      </c>
      <c r="J17" s="61"/>
    </row>
    <row r="18" spans="1:10" ht="14.25">
      <c r="A18" s="15" t="s">
        <v>35</v>
      </c>
      <c r="B18" s="47">
        <v>14.2</v>
      </c>
      <c r="C18" s="91">
        <v>306</v>
      </c>
      <c r="D18" s="47">
        <v>27.8</v>
      </c>
      <c r="E18" s="47">
        <v>29.8</v>
      </c>
      <c r="F18" s="47">
        <v>26.8</v>
      </c>
      <c r="G18" s="91">
        <v>17.5</v>
      </c>
      <c r="H18" s="101"/>
      <c r="J18" s="61"/>
    </row>
    <row r="19" spans="1:10" ht="16.5">
      <c r="A19" s="15" t="s">
        <v>122</v>
      </c>
      <c r="B19" s="47">
        <v>12.4</v>
      </c>
      <c r="C19" s="47">
        <v>223</v>
      </c>
      <c r="D19" s="91">
        <v>21.2</v>
      </c>
      <c r="E19" s="47">
        <v>24.3</v>
      </c>
      <c r="F19" s="47">
        <v>26.9</v>
      </c>
      <c r="G19" s="91">
        <v>12.1</v>
      </c>
      <c r="H19" s="101"/>
      <c r="J19" s="61"/>
    </row>
    <row r="20" spans="1:10" ht="16.5">
      <c r="A20" s="15" t="s">
        <v>123</v>
      </c>
      <c r="B20" s="47">
        <v>9.9499999999999993</v>
      </c>
      <c r="C20" s="47">
        <v>220</v>
      </c>
      <c r="D20" s="91">
        <v>20.3</v>
      </c>
      <c r="E20" s="47">
        <v>19.899999999999999</v>
      </c>
      <c r="F20" s="47">
        <v>25.5</v>
      </c>
      <c r="G20" s="91">
        <v>12.3</v>
      </c>
      <c r="H20" s="101"/>
      <c r="J20" s="61"/>
    </row>
    <row r="21" spans="1:10" ht="14.25">
      <c r="A21" s="15"/>
      <c r="B21" s="127"/>
      <c r="C21" s="48"/>
      <c r="D21" s="49"/>
      <c r="E21" s="49"/>
      <c r="F21" s="48"/>
      <c r="G21" s="50"/>
      <c r="H21" s="41"/>
      <c r="J21" s="61"/>
    </row>
    <row r="22" spans="1:10" ht="15">
      <c r="A22" s="51" t="s">
        <v>53</v>
      </c>
      <c r="B22" s="47"/>
      <c r="C22" s="47"/>
      <c r="D22" s="47"/>
      <c r="E22" s="129"/>
      <c r="F22" s="47"/>
      <c r="G22" s="129"/>
    </row>
    <row r="23" spans="1:10" ht="14.25">
      <c r="A23" s="15" t="s">
        <v>38</v>
      </c>
      <c r="B23" s="47">
        <v>13.2</v>
      </c>
      <c r="C23" s="47">
        <v>242</v>
      </c>
      <c r="D23" s="47">
        <v>24.2</v>
      </c>
      <c r="E23" s="129">
        <v>25</v>
      </c>
      <c r="F23" s="47">
        <v>26.9</v>
      </c>
      <c r="G23" s="129">
        <v>12</v>
      </c>
    </row>
    <row r="24" spans="1:10" ht="14.25">
      <c r="A24" s="15" t="s">
        <v>39</v>
      </c>
      <c r="B24" s="47">
        <v>12.7</v>
      </c>
      <c r="C24" s="47">
        <v>233</v>
      </c>
      <c r="D24" s="47">
        <v>20</v>
      </c>
      <c r="E24" s="129">
        <v>23.7</v>
      </c>
      <c r="F24" s="47">
        <v>26.7</v>
      </c>
      <c r="G24" s="129">
        <v>13</v>
      </c>
    </row>
    <row r="25" spans="1:10" ht="14.25">
      <c r="A25" s="15" t="s">
        <v>40</v>
      </c>
      <c r="B25" s="47">
        <v>13</v>
      </c>
      <c r="C25" s="47">
        <v>227</v>
      </c>
      <c r="D25" s="47">
        <v>22.6</v>
      </c>
      <c r="E25" s="129">
        <v>25.6</v>
      </c>
      <c r="F25" s="47">
        <v>29.4</v>
      </c>
      <c r="G25" s="129">
        <v>12.2</v>
      </c>
    </row>
    <row r="26" spans="1:10" ht="14.25">
      <c r="A26" s="15" t="s">
        <v>42</v>
      </c>
      <c r="B26" s="47">
        <v>13.1</v>
      </c>
      <c r="C26" s="47">
        <v>209</v>
      </c>
      <c r="D26" s="47">
        <v>24</v>
      </c>
      <c r="E26" s="129">
        <v>23.9</v>
      </c>
      <c r="F26" s="47">
        <v>23.7</v>
      </c>
      <c r="G26" s="129">
        <v>13.4</v>
      </c>
    </row>
    <row r="27" spans="1:10" ht="14.25">
      <c r="A27" s="15" t="s">
        <v>43</v>
      </c>
      <c r="B27" s="47">
        <v>12.8</v>
      </c>
      <c r="C27" s="47">
        <v>174</v>
      </c>
      <c r="D27" s="47">
        <v>21.4</v>
      </c>
      <c r="E27" s="129">
        <v>24.4</v>
      </c>
      <c r="F27" s="47">
        <v>27.1</v>
      </c>
      <c r="G27" s="129">
        <v>12.1</v>
      </c>
    </row>
    <row r="28" spans="1:10" ht="14.25">
      <c r="A28" s="15" t="s">
        <v>44</v>
      </c>
      <c r="B28" s="47">
        <v>11.9</v>
      </c>
      <c r="C28" s="47">
        <v>177</v>
      </c>
      <c r="D28" s="47">
        <v>22.4</v>
      </c>
      <c r="E28" s="129">
        <v>22.8</v>
      </c>
      <c r="F28" s="47">
        <v>26.4</v>
      </c>
      <c r="G28" s="129">
        <v>12.3</v>
      </c>
    </row>
    <row r="29" spans="1:10" ht="14.25">
      <c r="A29" s="15" t="s">
        <v>46</v>
      </c>
      <c r="B29" s="47">
        <v>11.8</v>
      </c>
      <c r="C29" s="47" t="s">
        <v>78</v>
      </c>
      <c r="D29" s="47">
        <v>22.5</v>
      </c>
      <c r="E29" s="129">
        <v>21.6</v>
      </c>
      <c r="F29" s="47">
        <v>27</v>
      </c>
      <c r="G29" s="129">
        <v>11.5</v>
      </c>
    </row>
    <row r="30" spans="1:10" ht="14.25">
      <c r="A30" s="15" t="s">
        <v>47</v>
      </c>
      <c r="B30" s="47">
        <v>11.8</v>
      </c>
      <c r="C30" s="47" t="s">
        <v>78</v>
      </c>
      <c r="D30" s="47">
        <v>20</v>
      </c>
      <c r="E30" s="129">
        <v>21.9</v>
      </c>
      <c r="F30" s="47">
        <v>27.2</v>
      </c>
      <c r="G30" s="129">
        <v>12.1</v>
      </c>
    </row>
    <row r="31" spans="1:10" ht="14.25">
      <c r="A31" s="15" t="s">
        <v>48</v>
      </c>
      <c r="B31" s="47">
        <v>11.9</v>
      </c>
      <c r="C31" s="47" t="s">
        <v>78</v>
      </c>
      <c r="D31" s="47">
        <v>23</v>
      </c>
      <c r="E31" s="129">
        <v>25.1</v>
      </c>
      <c r="F31" s="47">
        <v>26.7</v>
      </c>
      <c r="G31" s="129">
        <v>12.2</v>
      </c>
    </row>
    <row r="32" spans="1:10" ht="14.25">
      <c r="A32" s="130" t="s">
        <v>49</v>
      </c>
      <c r="B32" s="129">
        <v>11.8</v>
      </c>
      <c r="C32" s="129" t="s">
        <v>78</v>
      </c>
      <c r="D32" s="47">
        <v>17</v>
      </c>
      <c r="E32" s="129">
        <v>20.6</v>
      </c>
      <c r="F32" s="129">
        <v>26.2</v>
      </c>
      <c r="G32" s="129">
        <v>12</v>
      </c>
    </row>
    <row r="33" spans="1:12" ht="14.25">
      <c r="A33" s="15" t="s">
        <v>50</v>
      </c>
      <c r="B33" s="47">
        <v>11.3</v>
      </c>
      <c r="C33" s="47" t="s">
        <v>78</v>
      </c>
      <c r="D33" s="47">
        <v>20.9</v>
      </c>
      <c r="E33" s="47">
        <v>20.3</v>
      </c>
      <c r="F33" s="47">
        <v>27.3</v>
      </c>
      <c r="G33" s="47">
        <v>12.2</v>
      </c>
    </row>
    <row r="34" spans="1:12" ht="14.25">
      <c r="A34" s="15" t="s">
        <v>51</v>
      </c>
      <c r="B34" s="47">
        <v>10.3</v>
      </c>
      <c r="C34" s="47">
        <v>226</v>
      </c>
      <c r="D34" s="47">
        <v>18</v>
      </c>
      <c r="E34" s="47">
        <v>20</v>
      </c>
      <c r="F34" s="47">
        <v>26.8</v>
      </c>
      <c r="G34" s="47">
        <v>12</v>
      </c>
    </row>
    <row r="35" spans="1:12" ht="14.25">
      <c r="A35" s="15"/>
      <c r="B35" s="47"/>
      <c r="C35" s="47"/>
      <c r="D35" s="47"/>
      <c r="E35" s="129"/>
      <c r="F35" s="47"/>
      <c r="G35" s="129"/>
    </row>
    <row r="36" spans="1:12" ht="15">
      <c r="A36" s="51" t="s">
        <v>158</v>
      </c>
      <c r="B36" s="47"/>
      <c r="C36" s="47"/>
      <c r="D36" s="47"/>
      <c r="E36" s="129"/>
      <c r="F36" s="47"/>
      <c r="G36" s="129"/>
    </row>
    <row r="37" spans="1:12" ht="14.25">
      <c r="A37" s="15" t="s">
        <v>38</v>
      </c>
      <c r="B37" s="47">
        <v>10.199999999999999</v>
      </c>
      <c r="C37" s="47">
        <v>229</v>
      </c>
      <c r="D37" s="47">
        <v>18.2</v>
      </c>
      <c r="E37" s="47">
        <v>19</v>
      </c>
      <c r="F37" s="47">
        <v>26.7</v>
      </c>
      <c r="G37" s="47">
        <v>12</v>
      </c>
      <c r="L37" s="61"/>
    </row>
    <row r="38" spans="1:12" ht="14.25">
      <c r="A38" s="15" t="s">
        <v>39</v>
      </c>
      <c r="B38" s="47">
        <v>9.91</v>
      </c>
      <c r="C38" s="47">
        <v>223</v>
      </c>
      <c r="D38" s="47">
        <v>21</v>
      </c>
      <c r="E38" s="47">
        <v>20.3</v>
      </c>
      <c r="F38" s="47">
        <v>26</v>
      </c>
      <c r="G38" s="47">
        <v>11.9</v>
      </c>
      <c r="L38" s="61"/>
    </row>
    <row r="39" spans="1:12" ht="14.25">
      <c r="A39" s="15" t="s">
        <v>40</v>
      </c>
      <c r="B39" s="47">
        <v>9.84</v>
      </c>
      <c r="C39" s="47">
        <v>221</v>
      </c>
      <c r="D39" s="47">
        <v>18.5</v>
      </c>
      <c r="E39" s="47">
        <v>19.7</v>
      </c>
      <c r="F39" s="47">
        <v>25.2</v>
      </c>
      <c r="G39" s="47">
        <v>11.7</v>
      </c>
      <c r="H39" s="47"/>
      <c r="L39" s="61"/>
    </row>
    <row r="40" spans="1:12" ht="14.25">
      <c r="A40" s="15" t="s">
        <v>42</v>
      </c>
      <c r="B40" s="47">
        <v>9.7899999999999991</v>
      </c>
      <c r="C40" s="47">
        <v>224</v>
      </c>
      <c r="D40" s="47">
        <v>21.5</v>
      </c>
      <c r="E40" s="47">
        <v>19.3</v>
      </c>
      <c r="F40" s="47">
        <v>23.9</v>
      </c>
      <c r="G40" s="47">
        <v>12.3</v>
      </c>
      <c r="L40" s="61"/>
    </row>
    <row r="41" spans="1:12" ht="14.25">
      <c r="A41" s="15" t="s">
        <v>43</v>
      </c>
      <c r="B41" s="47">
        <v>10</v>
      </c>
      <c r="C41" s="47">
        <v>217</v>
      </c>
      <c r="D41" s="47">
        <v>23.1</v>
      </c>
      <c r="E41" s="47">
        <v>20.100000000000001</v>
      </c>
      <c r="F41" s="47">
        <v>25.9</v>
      </c>
      <c r="G41" s="47">
        <v>12.8</v>
      </c>
      <c r="L41" s="61"/>
    </row>
    <row r="42" spans="1:12" ht="16.5">
      <c r="A42" s="69" t="s">
        <v>124</v>
      </c>
      <c r="B42" s="69"/>
      <c r="C42" s="69"/>
      <c r="D42" s="69"/>
      <c r="E42" s="69"/>
      <c r="F42" s="69"/>
      <c r="G42" s="69"/>
      <c r="H42" s="92"/>
    </row>
    <row r="43" spans="1:12" ht="14.25">
      <c r="A43" s="15" t="s">
        <v>125</v>
      </c>
      <c r="B43" s="15"/>
      <c r="C43" s="15"/>
      <c r="D43" s="15"/>
      <c r="E43" s="15"/>
      <c r="F43" s="15"/>
      <c r="G43" s="15"/>
    </row>
    <row r="44" spans="1:12" ht="14.25">
      <c r="A44" s="20" t="s">
        <v>57</v>
      </c>
      <c r="B44" s="36">
        <f>Contents!A18</f>
        <v>45729</v>
      </c>
      <c r="C44" s="15"/>
      <c r="D44" s="15"/>
      <c r="E44" s="15"/>
      <c r="F44" s="15"/>
      <c r="G44" s="15"/>
    </row>
  </sheetData>
  <phoneticPr fontId="57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5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28515625" defaultRowHeight="12.75"/>
  <cols>
    <col min="1" max="2" width="11.5703125" customWidth="1"/>
    <col min="3" max="3" width="12.28515625" bestFit="1" customWidth="1"/>
    <col min="4" max="4" width="13.5703125" customWidth="1"/>
    <col min="5" max="5" width="11.5703125" customWidth="1"/>
    <col min="6" max="7" width="13.28515625" customWidth="1"/>
    <col min="8" max="8" width="12" customWidth="1"/>
    <col min="9" max="9" width="13.42578125" customWidth="1"/>
  </cols>
  <sheetData>
    <row r="1" spans="1:13" ht="14.25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2" t="s">
        <v>98</v>
      </c>
      <c r="B2" s="17" t="s">
        <v>126</v>
      </c>
      <c r="C2" s="17" t="s">
        <v>127</v>
      </c>
      <c r="D2" s="17" t="s">
        <v>128</v>
      </c>
      <c r="E2" s="53" t="s">
        <v>129</v>
      </c>
      <c r="F2" s="53" t="s">
        <v>130</v>
      </c>
      <c r="G2" s="17" t="s">
        <v>131</v>
      </c>
      <c r="H2" s="17" t="s">
        <v>132</v>
      </c>
      <c r="I2" s="54" t="s">
        <v>133</v>
      </c>
      <c r="K2" s="17"/>
      <c r="L2" s="17"/>
    </row>
    <row r="3" spans="1:13" ht="15.6" customHeight="1">
      <c r="A3" s="55" t="s">
        <v>105</v>
      </c>
      <c r="B3" s="23" t="s">
        <v>134</v>
      </c>
      <c r="C3" s="23" t="s">
        <v>135</v>
      </c>
      <c r="D3" s="23" t="s">
        <v>136</v>
      </c>
      <c r="E3" s="23" t="s">
        <v>136</v>
      </c>
      <c r="F3" s="23" t="s">
        <v>137</v>
      </c>
      <c r="G3" s="23" t="s">
        <v>138</v>
      </c>
      <c r="H3" s="23"/>
      <c r="I3" s="23" t="s">
        <v>139</v>
      </c>
    </row>
    <row r="4" spans="1:13" ht="14.25">
      <c r="A4" s="56" t="s">
        <v>140</v>
      </c>
      <c r="C4" s="57"/>
      <c r="D4" s="57"/>
      <c r="E4" s="57"/>
      <c r="F4" s="57"/>
      <c r="G4" s="57"/>
      <c r="H4" s="57"/>
      <c r="I4" s="57"/>
    </row>
    <row r="5" spans="1:13" ht="14.25">
      <c r="A5" s="15"/>
      <c r="B5" s="15"/>
      <c r="C5" s="15"/>
      <c r="D5" s="15"/>
      <c r="E5" s="15"/>
      <c r="F5" s="15"/>
      <c r="G5" s="15"/>
      <c r="H5" s="15"/>
      <c r="I5" s="15"/>
      <c r="K5" s="61"/>
    </row>
    <row r="6" spans="1:13" ht="14.25">
      <c r="A6" s="15" t="s">
        <v>110</v>
      </c>
      <c r="B6" s="47">
        <v>53.2</v>
      </c>
      <c r="C6" s="47">
        <v>54.5</v>
      </c>
      <c r="D6" s="47">
        <v>86.12</v>
      </c>
      <c r="E6" s="47">
        <v>58.68</v>
      </c>
      <c r="F6" s="47">
        <v>77.239999999999995</v>
      </c>
      <c r="G6" s="47">
        <v>60.76</v>
      </c>
      <c r="H6" s="47">
        <v>51.52</v>
      </c>
      <c r="I6" s="47">
        <v>51.34</v>
      </c>
      <c r="K6" s="172"/>
      <c r="L6" s="61"/>
      <c r="M6" s="61"/>
    </row>
    <row r="7" spans="1:13" ht="14.25">
      <c r="A7" s="15" t="s">
        <v>111</v>
      </c>
      <c r="B7" s="47">
        <v>51.9</v>
      </c>
      <c r="C7" s="47">
        <v>53.22</v>
      </c>
      <c r="D7" s="47">
        <v>83.2</v>
      </c>
      <c r="E7" s="47">
        <v>57.19</v>
      </c>
      <c r="F7" s="47">
        <v>100.15</v>
      </c>
      <c r="G7" s="47">
        <v>56.09</v>
      </c>
      <c r="H7" s="47">
        <v>48.11</v>
      </c>
      <c r="I7" s="47">
        <v>50.33</v>
      </c>
      <c r="K7" s="172"/>
      <c r="L7" s="61"/>
      <c r="M7" s="61"/>
    </row>
    <row r="8" spans="1:13" ht="14.25">
      <c r="A8" s="15" t="s">
        <v>112</v>
      </c>
      <c r="B8" s="47">
        <v>47.13</v>
      </c>
      <c r="C8" s="47">
        <v>48.6</v>
      </c>
      <c r="D8" s="47">
        <v>65.87</v>
      </c>
      <c r="E8" s="47">
        <v>56.17</v>
      </c>
      <c r="F8" s="47">
        <v>91.83</v>
      </c>
      <c r="G8" s="47">
        <v>46.66</v>
      </c>
      <c r="H8" s="47">
        <v>51.8</v>
      </c>
      <c r="I8" s="47">
        <v>43.24</v>
      </c>
      <c r="K8" s="172"/>
      <c r="L8" s="61"/>
      <c r="M8" s="61"/>
    </row>
    <row r="9" spans="1:13" ht="14.25">
      <c r="A9" s="15" t="s">
        <v>113</v>
      </c>
      <c r="B9" s="47">
        <v>38.229999999999997</v>
      </c>
      <c r="C9" s="47">
        <v>60.66</v>
      </c>
      <c r="D9" s="47">
        <v>59.12</v>
      </c>
      <c r="E9" s="47">
        <v>43.7</v>
      </c>
      <c r="F9" s="47">
        <v>68.23</v>
      </c>
      <c r="G9" s="47">
        <v>39.43</v>
      </c>
      <c r="H9" s="47">
        <v>43.93</v>
      </c>
      <c r="I9" s="47">
        <v>39.76</v>
      </c>
      <c r="K9" s="172"/>
      <c r="L9" s="61"/>
      <c r="M9" s="61"/>
    </row>
    <row r="10" spans="1:13" ht="14.25">
      <c r="A10" s="15" t="s">
        <v>114</v>
      </c>
      <c r="B10" s="47">
        <v>31.6</v>
      </c>
      <c r="C10" s="47">
        <v>45.74</v>
      </c>
      <c r="D10" s="47">
        <v>66.72</v>
      </c>
      <c r="E10" s="47">
        <v>37.81</v>
      </c>
      <c r="F10" s="47">
        <v>57.96</v>
      </c>
      <c r="G10" s="47">
        <v>37.479999999999997</v>
      </c>
      <c r="H10" s="47">
        <v>33.43</v>
      </c>
      <c r="I10" s="47">
        <v>31.36</v>
      </c>
      <c r="K10" s="172"/>
      <c r="L10" s="61"/>
      <c r="M10" s="61"/>
    </row>
    <row r="11" spans="1:13" ht="14.25">
      <c r="A11" s="15" t="s">
        <v>115</v>
      </c>
      <c r="B11" s="47">
        <v>29.86</v>
      </c>
      <c r="C11" s="47">
        <v>45.87</v>
      </c>
      <c r="D11" s="47">
        <v>57.81</v>
      </c>
      <c r="E11" s="47">
        <v>35.270000000000003</v>
      </c>
      <c r="F11" s="47">
        <v>58.26</v>
      </c>
      <c r="G11" s="47">
        <v>39.25</v>
      </c>
      <c r="H11" s="47">
        <v>32.229999999999997</v>
      </c>
      <c r="I11" s="47">
        <v>30.07</v>
      </c>
      <c r="K11" s="172"/>
      <c r="L11" s="61"/>
      <c r="M11" s="61"/>
    </row>
    <row r="12" spans="1:13" ht="14.25">
      <c r="A12" s="15" t="s">
        <v>116</v>
      </c>
      <c r="B12" s="47">
        <v>32.549999999999997</v>
      </c>
      <c r="C12" s="47">
        <v>40.92</v>
      </c>
      <c r="D12" s="47">
        <v>53.54</v>
      </c>
      <c r="E12" s="47">
        <v>38.729999999999997</v>
      </c>
      <c r="F12" s="47">
        <v>66.73</v>
      </c>
      <c r="G12" s="47">
        <v>37.43</v>
      </c>
      <c r="H12" s="47">
        <v>33.07</v>
      </c>
      <c r="I12" s="47">
        <v>34.75</v>
      </c>
      <c r="K12" s="172"/>
      <c r="L12" s="61"/>
      <c r="M12" s="61"/>
    </row>
    <row r="13" spans="1:13" ht="14.25">
      <c r="A13" s="15" t="s">
        <v>117</v>
      </c>
      <c r="B13" s="47">
        <v>30.04</v>
      </c>
      <c r="C13" s="47">
        <v>31.87</v>
      </c>
      <c r="D13" s="47">
        <v>54.57</v>
      </c>
      <c r="E13" s="47">
        <v>38.270000000000003</v>
      </c>
      <c r="F13" s="47">
        <v>66.72</v>
      </c>
      <c r="G13" s="47">
        <v>30.35</v>
      </c>
      <c r="H13" s="47">
        <v>34.159999999999997</v>
      </c>
      <c r="I13" s="47">
        <v>31.21</v>
      </c>
      <c r="K13" s="172"/>
      <c r="L13" s="61"/>
      <c r="M13" s="61"/>
    </row>
    <row r="14" spans="1:13" ht="14.25">
      <c r="A14" s="15" t="s">
        <v>118</v>
      </c>
      <c r="B14" s="47">
        <v>28.26</v>
      </c>
      <c r="C14" s="47">
        <v>35.14</v>
      </c>
      <c r="D14" s="47">
        <v>53.28</v>
      </c>
      <c r="E14" s="47">
        <v>36.090000000000003</v>
      </c>
      <c r="F14" s="47">
        <v>64.72</v>
      </c>
      <c r="G14" s="47">
        <v>26.93</v>
      </c>
      <c r="H14" s="47">
        <v>31.65</v>
      </c>
      <c r="I14" s="47">
        <v>33.11</v>
      </c>
      <c r="K14" s="172"/>
      <c r="L14" s="61"/>
      <c r="M14" s="61"/>
    </row>
    <row r="15" spans="1:13" ht="14.25">
      <c r="A15" s="15" t="s">
        <v>119</v>
      </c>
      <c r="B15" s="47">
        <v>29.65</v>
      </c>
      <c r="C15" s="47">
        <v>40.18</v>
      </c>
      <c r="D15" s="47">
        <v>65.03</v>
      </c>
      <c r="E15" s="47">
        <v>37.869999999999997</v>
      </c>
      <c r="F15" s="47">
        <v>65.599999999999994</v>
      </c>
      <c r="G15" s="47">
        <v>39.47</v>
      </c>
      <c r="H15" s="47">
        <v>35.75</v>
      </c>
      <c r="I15" s="47">
        <v>38.369999999999997</v>
      </c>
      <c r="K15" s="172"/>
      <c r="L15" s="136"/>
      <c r="M15" s="61"/>
    </row>
    <row r="16" spans="1:13" ht="14.25">
      <c r="A16" s="15" t="s">
        <v>120</v>
      </c>
      <c r="B16" s="47">
        <v>56.87</v>
      </c>
      <c r="C16" s="47">
        <v>80.94</v>
      </c>
      <c r="D16" s="47">
        <v>79</v>
      </c>
      <c r="E16" s="47">
        <v>70.459999999999994</v>
      </c>
      <c r="F16" s="47">
        <v>99.4</v>
      </c>
      <c r="G16" s="47">
        <v>53.88</v>
      </c>
      <c r="H16" s="47">
        <v>55.89</v>
      </c>
      <c r="I16" s="47">
        <v>54.98</v>
      </c>
      <c r="K16" s="172"/>
      <c r="L16" s="136"/>
      <c r="M16" s="61"/>
    </row>
    <row r="17" spans="1:13" ht="14.25">
      <c r="A17" s="15" t="s">
        <v>121</v>
      </c>
      <c r="B17" s="47">
        <v>72.98</v>
      </c>
      <c r="C17" s="47">
        <v>107.15</v>
      </c>
      <c r="D17" s="47">
        <v>111.39</v>
      </c>
      <c r="E17" s="47">
        <v>90.52</v>
      </c>
      <c r="F17" s="47">
        <v>106.8</v>
      </c>
      <c r="G17" s="47">
        <v>64.28</v>
      </c>
      <c r="H17" s="47">
        <v>82</v>
      </c>
      <c r="I17" s="47">
        <v>81.84</v>
      </c>
      <c r="K17" s="172"/>
      <c r="L17" s="136"/>
      <c r="M17" s="61"/>
    </row>
    <row r="18" spans="1:13" ht="14.25">
      <c r="A18" s="15" t="s">
        <v>35</v>
      </c>
      <c r="B18" s="47">
        <v>65.260000000000005</v>
      </c>
      <c r="C18" s="47">
        <v>102.53</v>
      </c>
      <c r="D18" s="47">
        <v>80.11</v>
      </c>
      <c r="E18" s="47">
        <v>73.14</v>
      </c>
      <c r="F18" s="47">
        <v>96.5</v>
      </c>
      <c r="G18" s="47">
        <v>61.62</v>
      </c>
      <c r="H18" s="47">
        <v>84.25</v>
      </c>
      <c r="I18" s="47">
        <v>76.95</v>
      </c>
      <c r="K18" s="172"/>
      <c r="L18" s="136"/>
      <c r="M18" s="61"/>
    </row>
    <row r="19" spans="1:13" ht="16.5">
      <c r="A19" s="15" t="s">
        <v>141</v>
      </c>
      <c r="B19" s="47">
        <v>47.28</v>
      </c>
      <c r="C19" s="47">
        <v>78.94</v>
      </c>
      <c r="D19" s="47">
        <v>58.65</v>
      </c>
      <c r="E19" s="47">
        <v>55.48</v>
      </c>
      <c r="F19" s="91">
        <v>80.099999999999994</v>
      </c>
      <c r="G19" s="47" t="s">
        <v>78</v>
      </c>
      <c r="H19" s="47">
        <v>55.041249999999998</v>
      </c>
      <c r="I19" s="47">
        <v>53.968000000000004</v>
      </c>
      <c r="K19" s="172"/>
      <c r="L19" s="136"/>
      <c r="M19" s="61"/>
    </row>
    <row r="20" spans="1:13" ht="16.5">
      <c r="A20" s="15" t="s">
        <v>142</v>
      </c>
      <c r="B20" s="47">
        <v>43</v>
      </c>
      <c r="C20" s="47">
        <v>75</v>
      </c>
      <c r="D20" s="47">
        <v>60</v>
      </c>
      <c r="E20" s="47">
        <v>50</v>
      </c>
      <c r="F20" s="91">
        <v>76</v>
      </c>
      <c r="G20" s="91" t="s">
        <v>78</v>
      </c>
      <c r="H20" s="91">
        <v>51</v>
      </c>
      <c r="I20" s="91">
        <v>46</v>
      </c>
      <c r="K20" s="61"/>
      <c r="L20" s="61"/>
      <c r="M20" s="61"/>
    </row>
    <row r="21" spans="1:13" ht="14.25">
      <c r="A21" s="148"/>
      <c r="B21" s="147"/>
      <c r="C21" s="147"/>
      <c r="D21" s="147"/>
      <c r="E21" s="147"/>
      <c r="F21" s="147"/>
      <c r="G21" s="147"/>
      <c r="H21" s="147"/>
      <c r="I21" s="147"/>
    </row>
    <row r="22" spans="1:13" ht="15">
      <c r="A22" s="30" t="s">
        <v>53</v>
      </c>
      <c r="B22" s="47"/>
      <c r="C22" s="47"/>
      <c r="D22" s="47"/>
      <c r="E22" s="47"/>
      <c r="F22" s="47"/>
      <c r="G22" s="47"/>
      <c r="H22" s="47"/>
      <c r="I22" s="47"/>
    </row>
    <row r="23" spans="1:13" ht="14.25">
      <c r="A23" s="15" t="s">
        <v>39</v>
      </c>
      <c r="B23" s="47">
        <v>56.599999999999994</v>
      </c>
      <c r="C23" s="47">
        <v>92</v>
      </c>
      <c r="D23" s="47">
        <v>64.75</v>
      </c>
      <c r="E23" s="47">
        <v>65.1875</v>
      </c>
      <c r="F23" s="47">
        <v>83.25</v>
      </c>
      <c r="G23" s="47" t="s">
        <v>78</v>
      </c>
      <c r="H23" s="91">
        <v>90</v>
      </c>
      <c r="I23" s="47">
        <v>65.17</v>
      </c>
      <c r="K23" s="61"/>
      <c r="M23" s="61"/>
    </row>
    <row r="24" spans="1:13" ht="14.25">
      <c r="A24" s="15" t="s">
        <v>40</v>
      </c>
      <c r="B24" s="47">
        <v>53.39</v>
      </c>
      <c r="C24" s="47">
        <v>86.38</v>
      </c>
      <c r="D24" s="47">
        <v>62.25</v>
      </c>
      <c r="E24" s="47">
        <v>61.63</v>
      </c>
      <c r="F24" s="47">
        <v>81.5</v>
      </c>
      <c r="G24" s="47" t="s">
        <v>78</v>
      </c>
      <c r="H24" s="91" t="s">
        <v>78</v>
      </c>
      <c r="I24" s="47">
        <v>57.024999999999999</v>
      </c>
      <c r="K24" s="61"/>
      <c r="M24" s="61"/>
    </row>
    <row r="25" spans="1:13" ht="14.25">
      <c r="A25" s="15" t="s">
        <v>42</v>
      </c>
      <c r="B25" s="47">
        <v>52.33</v>
      </c>
      <c r="C25" s="47">
        <v>83.1</v>
      </c>
      <c r="D25" s="47">
        <v>58.6</v>
      </c>
      <c r="E25" s="47">
        <v>59.45</v>
      </c>
      <c r="F25" s="47">
        <v>77.8</v>
      </c>
      <c r="G25" s="47" t="s">
        <v>78</v>
      </c>
      <c r="H25" s="91">
        <v>65</v>
      </c>
      <c r="I25" s="47">
        <v>50.67</v>
      </c>
      <c r="K25" s="61"/>
      <c r="M25" s="61"/>
    </row>
    <row r="26" spans="1:13" ht="14.25">
      <c r="A26" s="15" t="s">
        <v>43</v>
      </c>
      <c r="B26" s="47">
        <v>49.1</v>
      </c>
      <c r="C26" s="47">
        <v>79.5</v>
      </c>
      <c r="D26" s="47">
        <v>58.13</v>
      </c>
      <c r="E26" s="47">
        <v>57.25</v>
      </c>
      <c r="F26" s="47">
        <v>76.5</v>
      </c>
      <c r="G26" s="47" t="s">
        <v>78</v>
      </c>
      <c r="H26" s="91" t="s">
        <v>78</v>
      </c>
      <c r="I26" s="47" t="s">
        <v>78</v>
      </c>
      <c r="K26" s="61"/>
      <c r="M26" s="61"/>
    </row>
    <row r="27" spans="1:13" ht="14.25">
      <c r="A27" s="15" t="s">
        <v>44</v>
      </c>
      <c r="B27" s="47">
        <v>47.33</v>
      </c>
      <c r="C27" s="47">
        <v>76.5</v>
      </c>
      <c r="D27" s="47">
        <v>57.38</v>
      </c>
      <c r="E27" s="47">
        <v>53.06</v>
      </c>
      <c r="F27" s="47">
        <v>76.75</v>
      </c>
      <c r="G27" s="47" t="s">
        <v>78</v>
      </c>
      <c r="H27" s="91">
        <v>45.33</v>
      </c>
      <c r="I27" s="47">
        <v>52.5</v>
      </c>
      <c r="K27" s="61"/>
      <c r="M27" s="61"/>
    </row>
    <row r="28" spans="1:13" ht="14.25">
      <c r="A28" s="15" t="s">
        <v>46</v>
      </c>
      <c r="B28" s="47">
        <v>46.57</v>
      </c>
      <c r="C28" s="47">
        <v>79.95</v>
      </c>
      <c r="D28" s="47">
        <v>57.45</v>
      </c>
      <c r="E28" s="47">
        <v>55.55</v>
      </c>
      <c r="F28" s="47">
        <v>76</v>
      </c>
      <c r="G28" s="47" t="s">
        <v>78</v>
      </c>
      <c r="H28" s="91" t="s">
        <v>78</v>
      </c>
      <c r="I28" s="47">
        <v>52</v>
      </c>
      <c r="K28" s="61"/>
      <c r="M28" s="61"/>
    </row>
    <row r="29" spans="1:13" ht="14.25">
      <c r="A29" s="15" t="s">
        <v>47</v>
      </c>
      <c r="B29" s="47">
        <v>45.1325</v>
      </c>
      <c r="C29" s="47">
        <v>77.25</v>
      </c>
      <c r="D29" s="47">
        <v>56.06</v>
      </c>
      <c r="E29" s="47">
        <v>54.38</v>
      </c>
      <c r="F29" s="47">
        <v>75.13</v>
      </c>
      <c r="G29" s="47" t="s">
        <v>78</v>
      </c>
      <c r="H29" s="91">
        <v>41</v>
      </c>
      <c r="I29" s="47">
        <v>52.17</v>
      </c>
      <c r="K29" s="61"/>
      <c r="M29" s="61"/>
    </row>
    <row r="30" spans="1:13" ht="14.25">
      <c r="A30" s="15" t="s">
        <v>48</v>
      </c>
      <c r="B30" s="47">
        <v>43.302</v>
      </c>
      <c r="C30" s="47">
        <v>74.55</v>
      </c>
      <c r="D30" s="47">
        <v>54.6</v>
      </c>
      <c r="E30" s="47">
        <v>52.75</v>
      </c>
      <c r="F30" s="47">
        <v>73.8</v>
      </c>
      <c r="G30" s="47" t="s">
        <v>78</v>
      </c>
      <c r="H30" s="91">
        <v>42</v>
      </c>
      <c r="I30" s="47">
        <v>48.875</v>
      </c>
      <c r="K30" s="61"/>
      <c r="M30" s="61"/>
    </row>
    <row r="31" spans="1:13" ht="14.25">
      <c r="A31" s="15" t="s">
        <v>49</v>
      </c>
      <c r="B31" s="47">
        <v>42.51</v>
      </c>
      <c r="C31" s="47">
        <v>74.38</v>
      </c>
      <c r="D31" s="47">
        <v>58.88</v>
      </c>
      <c r="E31" s="47">
        <v>51.31</v>
      </c>
      <c r="F31" s="47">
        <v>77.5</v>
      </c>
      <c r="G31" s="47" t="s">
        <v>78</v>
      </c>
      <c r="H31" s="91">
        <v>46</v>
      </c>
      <c r="I31" s="47">
        <v>54.1</v>
      </c>
      <c r="K31" s="61"/>
      <c r="M31" s="61"/>
    </row>
    <row r="32" spans="1:13" ht="14.25">
      <c r="A32" s="15" t="s">
        <v>50</v>
      </c>
      <c r="B32" s="47">
        <v>45.57</v>
      </c>
      <c r="C32" s="47">
        <v>77.94</v>
      </c>
      <c r="D32" s="47">
        <v>59.69</v>
      </c>
      <c r="E32" s="47">
        <v>54.75</v>
      </c>
      <c r="F32" s="47">
        <v>79</v>
      </c>
      <c r="G32" s="47" t="s">
        <v>78</v>
      </c>
      <c r="H32" s="91">
        <v>55</v>
      </c>
      <c r="I32" s="91">
        <v>54.5</v>
      </c>
      <c r="K32" s="61"/>
      <c r="M32" s="61"/>
    </row>
    <row r="33" spans="1:13" ht="14.25">
      <c r="A33" s="15" t="s">
        <v>51</v>
      </c>
      <c r="B33" s="47">
        <v>42.51</v>
      </c>
      <c r="C33" s="47">
        <v>72.95</v>
      </c>
      <c r="D33" s="47">
        <v>58.1</v>
      </c>
      <c r="E33" s="47">
        <v>51.05</v>
      </c>
      <c r="F33" s="47">
        <v>78.8</v>
      </c>
      <c r="G33" s="47" t="s">
        <v>78</v>
      </c>
      <c r="H33" s="91">
        <v>56</v>
      </c>
      <c r="I33" s="91">
        <v>52.67</v>
      </c>
      <c r="K33" s="61"/>
      <c r="M33" s="61"/>
    </row>
    <row r="34" spans="1:13" ht="14.25">
      <c r="A34" s="15" t="s">
        <v>38</v>
      </c>
      <c r="B34" s="47">
        <v>43.04</v>
      </c>
      <c r="C34" s="47">
        <v>72.75</v>
      </c>
      <c r="D34" s="47">
        <v>57.9375</v>
      </c>
      <c r="E34" s="47">
        <v>49.4375</v>
      </c>
      <c r="F34" s="47">
        <v>79.25</v>
      </c>
      <c r="G34" s="47" t="s">
        <v>78</v>
      </c>
      <c r="H34" s="91" t="s">
        <v>78</v>
      </c>
      <c r="I34" s="91" t="s">
        <v>78</v>
      </c>
      <c r="K34" s="61"/>
      <c r="M34" s="61"/>
    </row>
    <row r="35" spans="1:13" ht="14.25">
      <c r="A35" s="15"/>
      <c r="B35" s="47"/>
      <c r="C35" s="47"/>
      <c r="D35" s="47"/>
      <c r="E35" s="47"/>
      <c r="F35" s="47"/>
      <c r="G35" s="47"/>
      <c r="H35" s="47"/>
      <c r="I35" s="47"/>
      <c r="K35" s="61"/>
      <c r="M35" s="61"/>
    </row>
    <row r="36" spans="1:13" ht="15">
      <c r="A36" s="30" t="s">
        <v>158</v>
      </c>
      <c r="B36" s="47"/>
      <c r="C36" s="47"/>
      <c r="D36" s="47"/>
      <c r="E36" s="47"/>
      <c r="F36" s="47"/>
      <c r="G36" s="47"/>
      <c r="H36" s="47"/>
      <c r="I36" s="47"/>
      <c r="J36" s="101"/>
      <c r="K36" s="61"/>
      <c r="M36" s="61"/>
    </row>
    <row r="37" spans="1:13" ht="14.25">
      <c r="A37" s="15" t="s">
        <v>39</v>
      </c>
      <c r="B37" s="47">
        <v>44.3</v>
      </c>
      <c r="C37" s="47">
        <v>75.06</v>
      </c>
      <c r="D37" s="47">
        <v>59.5</v>
      </c>
      <c r="E37" s="47">
        <v>50.69</v>
      </c>
      <c r="F37" s="47">
        <v>79.13</v>
      </c>
      <c r="G37" s="47" t="s">
        <v>78</v>
      </c>
      <c r="H37" s="91" t="s">
        <v>78</v>
      </c>
      <c r="I37" s="47">
        <v>49.625</v>
      </c>
      <c r="J37" s="136"/>
      <c r="K37" s="61"/>
      <c r="M37" s="61"/>
    </row>
    <row r="38" spans="1:13" ht="14.25">
      <c r="A38" s="15" t="s">
        <v>40</v>
      </c>
      <c r="B38" s="47">
        <v>45.604999999999997</v>
      </c>
      <c r="C38" s="47">
        <v>76.349999999999994</v>
      </c>
      <c r="D38" s="47">
        <v>59.7</v>
      </c>
      <c r="E38" s="47">
        <v>51.45</v>
      </c>
      <c r="F38" s="47">
        <v>78.2</v>
      </c>
      <c r="G38" s="47" t="s">
        <v>78</v>
      </c>
      <c r="H38" s="91" t="s">
        <v>78</v>
      </c>
      <c r="I38" s="47" t="s">
        <v>78</v>
      </c>
      <c r="J38" s="136"/>
      <c r="K38" s="61"/>
      <c r="M38" s="61"/>
    </row>
    <row r="39" spans="1:13" ht="14.25">
      <c r="A39" s="15" t="s">
        <v>42</v>
      </c>
      <c r="B39" s="47">
        <v>42.48</v>
      </c>
      <c r="C39" s="47">
        <v>71.56</v>
      </c>
      <c r="D39" s="47">
        <v>58.13</v>
      </c>
      <c r="E39" s="47">
        <v>46.94</v>
      </c>
      <c r="F39" s="47">
        <v>78.25</v>
      </c>
      <c r="G39" s="47" t="s">
        <v>78</v>
      </c>
      <c r="H39" s="91">
        <v>55</v>
      </c>
      <c r="I39" s="47" t="s">
        <v>78</v>
      </c>
      <c r="J39" s="136"/>
      <c r="K39" s="61"/>
      <c r="M39" s="61"/>
    </row>
    <row r="40" spans="1:13" ht="14.25">
      <c r="A40" s="15" t="s">
        <v>159</v>
      </c>
      <c r="B40" s="47">
        <v>43.305999999999997</v>
      </c>
      <c r="C40" s="47">
        <v>75.349999999999994</v>
      </c>
      <c r="D40" s="47">
        <v>59.5</v>
      </c>
      <c r="E40" s="47">
        <v>49.8</v>
      </c>
      <c r="F40" s="47">
        <v>79.599999999999994</v>
      </c>
      <c r="G40" s="47" t="s">
        <v>78</v>
      </c>
      <c r="H40" s="91">
        <v>45.5</v>
      </c>
      <c r="I40" s="47" t="s">
        <v>78</v>
      </c>
      <c r="J40" s="136"/>
      <c r="K40" s="61"/>
      <c r="M40" s="61"/>
    </row>
    <row r="41" spans="1:13" ht="14.25">
      <c r="A41" s="15" t="s">
        <v>44</v>
      </c>
      <c r="B41" s="47">
        <v>44.497500000000002</v>
      </c>
      <c r="C41" s="47">
        <v>77.19</v>
      </c>
      <c r="D41" s="47">
        <v>60.88</v>
      </c>
      <c r="E41" s="47">
        <v>50.81</v>
      </c>
      <c r="F41" s="47">
        <v>80.25</v>
      </c>
      <c r="G41" s="47" t="s">
        <v>78</v>
      </c>
      <c r="H41" s="91" t="s">
        <v>78</v>
      </c>
      <c r="I41" s="47">
        <v>57</v>
      </c>
      <c r="J41" s="136"/>
      <c r="K41" s="61"/>
      <c r="M41" s="61"/>
    </row>
    <row r="42" spans="1:13" ht="16.5">
      <c r="A42" s="79" t="s">
        <v>143</v>
      </c>
      <c r="B42" s="109"/>
      <c r="C42" s="109"/>
      <c r="D42" s="109"/>
      <c r="E42" s="109"/>
      <c r="F42" s="109"/>
      <c r="G42" s="109"/>
      <c r="H42" s="109"/>
      <c r="I42" s="110"/>
    </row>
    <row r="43" spans="1:13" ht="16.5">
      <c r="A43" s="15" t="s">
        <v>144</v>
      </c>
      <c r="B43" s="59"/>
      <c r="C43" s="59"/>
      <c r="D43" s="59"/>
      <c r="E43" s="59"/>
      <c r="F43" s="59"/>
      <c r="G43" s="59"/>
      <c r="H43" s="59"/>
      <c r="I43" s="59"/>
    </row>
    <row r="44" spans="1:13" ht="14.25">
      <c r="A44" s="15" t="s">
        <v>145</v>
      </c>
      <c r="B44" s="15"/>
      <c r="C44" s="15"/>
      <c r="D44" s="15"/>
      <c r="E44" s="15"/>
      <c r="F44" s="59"/>
      <c r="G44" s="15"/>
      <c r="H44" s="15"/>
      <c r="I44" s="15"/>
    </row>
    <row r="45" spans="1:13" ht="14.25">
      <c r="A45" s="20" t="s">
        <v>57</v>
      </c>
      <c r="B45" s="36">
        <f>Contents!A18</f>
        <v>45729</v>
      </c>
      <c r="C45" s="15"/>
      <c r="D45" s="15"/>
      <c r="E45" s="15"/>
      <c r="F45" s="15"/>
      <c r="G45" s="15"/>
      <c r="H45" s="15"/>
      <c r="I45" s="15"/>
    </row>
    <row r="46" spans="1:13" ht="15.75">
      <c r="C46" s="60"/>
      <c r="G46" s="60"/>
      <c r="H46" s="60"/>
      <c r="I46" s="60"/>
    </row>
    <row r="47" spans="1:13">
      <c r="B47" s="92"/>
      <c r="C47" s="92"/>
      <c r="D47" s="92"/>
      <c r="E47" s="92"/>
      <c r="F47" s="92"/>
      <c r="G47" s="92"/>
      <c r="H47" s="92"/>
      <c r="I47" s="92"/>
    </row>
    <row r="48" spans="1:13" ht="15.75">
      <c r="B48" s="85"/>
      <c r="C48" s="85"/>
      <c r="D48" s="85"/>
      <c r="E48" s="85"/>
      <c r="F48" s="85"/>
      <c r="G48" s="85"/>
      <c r="H48" s="60"/>
      <c r="I48" s="60"/>
    </row>
    <row r="49" spans="2:9" ht="15.75">
      <c r="B49" s="92"/>
      <c r="C49" s="60"/>
      <c r="G49" s="60"/>
      <c r="H49" s="60"/>
      <c r="I49" s="60"/>
    </row>
    <row r="50" spans="2:9" ht="15.75">
      <c r="C50" s="60"/>
      <c r="G50" s="60"/>
      <c r="H50" s="60"/>
      <c r="I50" s="60"/>
    </row>
    <row r="51" spans="2:9" ht="15.75">
      <c r="C51" s="60"/>
      <c r="G51" s="60"/>
      <c r="H51" s="60"/>
      <c r="I51" s="60"/>
    </row>
    <row r="52" spans="2:9" ht="15.75">
      <c r="C52" s="60"/>
      <c r="G52" s="60"/>
      <c r="H52" s="60"/>
      <c r="I52" s="60"/>
    </row>
    <row r="53" spans="2:9" ht="15.75">
      <c r="C53" s="60"/>
      <c r="G53" s="60"/>
      <c r="H53" s="60"/>
      <c r="I53" s="60"/>
    </row>
    <row r="54" spans="2:9" ht="15.75">
      <c r="C54" s="60"/>
      <c r="G54" s="60"/>
      <c r="H54" s="60"/>
      <c r="I54" s="60"/>
    </row>
    <row r="55" spans="2:9" ht="15.75">
      <c r="C55" s="60"/>
      <c r="G55" s="60"/>
      <c r="H55" s="60"/>
      <c r="I55" s="60"/>
    </row>
    <row r="56" spans="2:9" ht="15.75">
      <c r="C56" s="60"/>
      <c r="G56" s="60"/>
      <c r="H56" s="60"/>
      <c r="I56" s="60"/>
    </row>
    <row r="57" spans="2:9" ht="15.75">
      <c r="C57" s="60"/>
      <c r="G57" s="60"/>
      <c r="H57" s="60"/>
      <c r="I57" s="60"/>
    </row>
    <row r="58" spans="2:9" ht="15.75">
      <c r="C58" s="60"/>
      <c r="G58" s="60"/>
      <c r="H58" s="60"/>
      <c r="I58" s="60"/>
    </row>
    <row r="59" spans="2:9" ht="15.75">
      <c r="C59" s="60"/>
      <c r="G59" s="60"/>
      <c r="H59" s="60"/>
      <c r="I59" s="60"/>
    </row>
    <row r="60" spans="2:9" ht="15.75">
      <c r="C60" s="60"/>
      <c r="G60" s="60"/>
      <c r="H60" s="60"/>
      <c r="I60" s="60"/>
    </row>
    <row r="61" spans="2:9" ht="15.75">
      <c r="C61" s="60"/>
      <c r="G61" s="60"/>
      <c r="H61" s="60"/>
      <c r="I61" s="60"/>
    </row>
    <row r="62" spans="2:9" ht="15.75">
      <c r="C62" s="60"/>
      <c r="H62" s="60"/>
      <c r="I62" s="60"/>
    </row>
    <row r="63" spans="2:9" ht="15.75">
      <c r="C63" s="60"/>
      <c r="H63" s="60"/>
      <c r="I63" s="60"/>
    </row>
    <row r="64" spans="2:9" ht="15.75">
      <c r="C64" s="60"/>
      <c r="F64" s="61"/>
      <c r="H64" s="60"/>
      <c r="I64" s="60"/>
    </row>
    <row r="65" spans="6:9" ht="15.75">
      <c r="F65" s="61"/>
      <c r="H65" s="60"/>
      <c r="I65" s="60"/>
    </row>
  </sheetData>
  <phoneticPr fontId="57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5"/>
  <sheetViews>
    <sheetView showGridLines="0" zoomScale="70" zoomScaleNormal="70" workbookViewId="0">
      <pane xSplit="1" ySplit="4" topLeftCell="B5" activePane="bottomRight" state="frozen"/>
      <selection activeCell="F44" sqref="F44"/>
      <selection pane="topRight" activeCell="F44" sqref="F44"/>
      <selection pane="bottomLeft" activeCell="F44" sqref="F44"/>
      <selection pane="bottomRight"/>
    </sheetView>
  </sheetViews>
  <sheetFormatPr defaultColWidth="9.28515625" defaultRowHeight="12.75"/>
  <cols>
    <col min="1" max="1" width="11.5703125" customWidth="1"/>
    <col min="2" max="7" width="13.5703125" customWidth="1"/>
    <col min="8" max="8" width="12.42578125" bestFit="1" customWidth="1"/>
    <col min="9" max="9" width="11.42578125" customWidth="1"/>
    <col min="11" max="11" width="8.7109375" customWidth="1"/>
    <col min="12" max="12" width="18" bestFit="1" customWidth="1"/>
  </cols>
  <sheetData>
    <row r="1" spans="1:28" ht="14.25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126</v>
      </c>
      <c r="C2" s="62" t="s">
        <v>127</v>
      </c>
      <c r="D2" s="62" t="s">
        <v>128</v>
      </c>
      <c r="E2" s="62" t="s">
        <v>130</v>
      </c>
      <c r="F2" s="17" t="s">
        <v>146</v>
      </c>
      <c r="G2" s="17" t="s">
        <v>147</v>
      </c>
      <c r="AB2" s="63"/>
    </row>
    <row r="3" spans="1:28" ht="15.6" customHeight="1">
      <c r="A3" s="14" t="s">
        <v>105</v>
      </c>
      <c r="B3" s="23" t="s">
        <v>148</v>
      </c>
      <c r="C3" s="23" t="s">
        <v>149</v>
      </c>
      <c r="D3" s="23" t="s">
        <v>150</v>
      </c>
      <c r="E3" s="23" t="s">
        <v>151</v>
      </c>
      <c r="F3" s="23" t="s">
        <v>152</v>
      </c>
      <c r="G3" s="23" t="s">
        <v>153</v>
      </c>
      <c r="AB3" s="63"/>
    </row>
    <row r="4" spans="1:28" ht="14.25">
      <c r="A4" s="56" t="s">
        <v>154</v>
      </c>
      <c r="C4" s="57"/>
      <c r="D4" s="57"/>
      <c r="E4" s="57"/>
      <c r="F4" s="57"/>
      <c r="G4" s="57"/>
      <c r="AB4" s="63"/>
    </row>
    <row r="5" spans="1:28" ht="14.25">
      <c r="A5" s="15"/>
      <c r="B5" s="15"/>
      <c r="C5" s="15"/>
      <c r="D5" s="15"/>
      <c r="E5" s="15"/>
      <c r="F5" s="15"/>
      <c r="G5" s="15"/>
      <c r="AB5" s="63"/>
    </row>
    <row r="6" spans="1:28" ht="14.25">
      <c r="A6" s="15" t="s">
        <v>110</v>
      </c>
      <c r="B6" s="58">
        <v>345.52</v>
      </c>
      <c r="C6" s="58">
        <v>273.83999999999997</v>
      </c>
      <c r="D6" s="58">
        <v>219.72</v>
      </c>
      <c r="E6" s="50" t="s">
        <v>78</v>
      </c>
      <c r="F6" s="58">
        <v>263.63</v>
      </c>
      <c r="G6" s="58">
        <v>240.65</v>
      </c>
      <c r="H6" s="61"/>
      <c r="I6" s="61"/>
      <c r="J6" s="61"/>
      <c r="AB6" s="63"/>
    </row>
    <row r="7" spans="1:28" ht="14.25">
      <c r="A7" s="15" t="s">
        <v>111</v>
      </c>
      <c r="B7" s="58">
        <v>393.53</v>
      </c>
      <c r="C7" s="58">
        <v>275.13</v>
      </c>
      <c r="D7" s="58">
        <v>246.75</v>
      </c>
      <c r="E7" s="50" t="s">
        <v>78</v>
      </c>
      <c r="F7" s="58">
        <v>307.58999999999997</v>
      </c>
      <c r="G7" s="58">
        <v>265.68</v>
      </c>
      <c r="H7" s="61"/>
      <c r="I7" s="61"/>
      <c r="J7" s="61"/>
      <c r="AB7" s="63"/>
    </row>
    <row r="8" spans="1:28" ht="14.25">
      <c r="A8" s="15" t="s">
        <v>112</v>
      </c>
      <c r="B8" s="58">
        <v>468.11</v>
      </c>
      <c r="C8" s="58">
        <v>331.52</v>
      </c>
      <c r="D8" s="58">
        <v>241.57</v>
      </c>
      <c r="E8" s="50" t="s">
        <v>78</v>
      </c>
      <c r="F8" s="58">
        <v>354.22</v>
      </c>
      <c r="G8" s="58">
        <v>329.31</v>
      </c>
      <c r="H8" s="61"/>
      <c r="I8" s="61"/>
      <c r="J8" s="61"/>
      <c r="AB8" s="63"/>
    </row>
    <row r="9" spans="1:28" ht="14.25">
      <c r="A9" s="15" t="s">
        <v>113</v>
      </c>
      <c r="B9" s="58">
        <v>489.94</v>
      </c>
      <c r="C9" s="58">
        <v>377.71</v>
      </c>
      <c r="D9" s="58">
        <v>238.87</v>
      </c>
      <c r="E9" s="50" t="s">
        <v>78</v>
      </c>
      <c r="F9" s="58">
        <v>359.7</v>
      </c>
      <c r="G9" s="58">
        <v>337.23</v>
      </c>
      <c r="H9" s="61"/>
      <c r="I9" s="61"/>
      <c r="J9" s="61"/>
      <c r="AB9" s="63"/>
    </row>
    <row r="10" spans="1:28" ht="14.25">
      <c r="A10" s="15" t="s">
        <v>114</v>
      </c>
      <c r="B10" s="58">
        <v>368.49</v>
      </c>
      <c r="C10" s="58">
        <v>304.27</v>
      </c>
      <c r="D10" s="58">
        <v>209.97</v>
      </c>
      <c r="E10" s="50" t="s">
        <v>78</v>
      </c>
      <c r="F10" s="58">
        <v>301.2</v>
      </c>
      <c r="G10" s="58">
        <v>256.58</v>
      </c>
      <c r="H10" s="61"/>
      <c r="I10" s="61"/>
      <c r="J10" s="61"/>
      <c r="AB10" s="63"/>
    </row>
    <row r="11" spans="1:28" ht="14.25">
      <c r="A11" s="15" t="s">
        <v>115</v>
      </c>
      <c r="B11" s="58">
        <v>324.56</v>
      </c>
      <c r="C11" s="58">
        <v>261.19</v>
      </c>
      <c r="D11" s="58">
        <v>153.16999999999999</v>
      </c>
      <c r="E11" s="50" t="s">
        <v>78</v>
      </c>
      <c r="F11" s="58">
        <v>262.2</v>
      </c>
      <c r="G11" s="58">
        <v>260.23</v>
      </c>
      <c r="H11" s="61"/>
      <c r="I11" s="61"/>
      <c r="J11" s="61"/>
      <c r="AB11" s="63"/>
    </row>
    <row r="12" spans="1:28" ht="14.25">
      <c r="A12" s="15" t="s">
        <v>116</v>
      </c>
      <c r="B12" s="58">
        <v>316.88</v>
      </c>
      <c r="C12" s="58">
        <v>208.61</v>
      </c>
      <c r="D12" s="58">
        <v>145.1</v>
      </c>
      <c r="E12" s="50" t="s">
        <v>78</v>
      </c>
      <c r="F12" s="58">
        <v>267.94</v>
      </c>
      <c r="G12" s="58">
        <v>282.49</v>
      </c>
      <c r="H12" s="61"/>
      <c r="I12" s="61"/>
      <c r="J12" s="61"/>
      <c r="AB12" s="63"/>
    </row>
    <row r="13" spans="1:28" ht="14.25">
      <c r="A13" s="15" t="s">
        <v>117</v>
      </c>
      <c r="B13" s="58">
        <v>345.02</v>
      </c>
      <c r="C13" s="58">
        <v>260.88</v>
      </c>
      <c r="D13" s="58">
        <v>173.53</v>
      </c>
      <c r="E13" s="50" t="s">
        <v>78</v>
      </c>
      <c r="F13" s="58">
        <v>291.14999999999998</v>
      </c>
      <c r="G13" s="58">
        <v>239.15</v>
      </c>
      <c r="H13" s="61"/>
      <c r="I13" s="61"/>
      <c r="J13" s="61"/>
    </row>
    <row r="14" spans="1:28" ht="14.25">
      <c r="A14" s="15" t="s">
        <v>118</v>
      </c>
      <c r="B14" s="58">
        <v>308.27999999999997</v>
      </c>
      <c r="C14" s="58">
        <v>228.64</v>
      </c>
      <c r="D14" s="58">
        <v>164.16</v>
      </c>
      <c r="E14" s="50" t="s">
        <v>78</v>
      </c>
      <c r="F14" s="58">
        <v>272.38</v>
      </c>
      <c r="G14" s="58">
        <v>225.77</v>
      </c>
      <c r="H14" s="61"/>
      <c r="I14" s="61"/>
      <c r="J14" s="61"/>
    </row>
    <row r="15" spans="1:28" ht="14.25">
      <c r="A15" s="15" t="s">
        <v>119</v>
      </c>
      <c r="B15" s="58">
        <v>299.5</v>
      </c>
      <c r="C15" s="58">
        <v>247.04</v>
      </c>
      <c r="D15" s="58">
        <v>187.7</v>
      </c>
      <c r="E15" s="50" t="s">
        <v>78</v>
      </c>
      <c r="F15" s="58">
        <v>273.99</v>
      </c>
      <c r="G15" s="58">
        <v>245.88</v>
      </c>
      <c r="H15" s="61"/>
      <c r="I15" s="61"/>
      <c r="J15" s="61"/>
    </row>
    <row r="16" spans="1:28" ht="14.25">
      <c r="A16" s="15" t="s">
        <v>120</v>
      </c>
      <c r="B16" s="58">
        <v>392.31</v>
      </c>
      <c r="C16" s="58">
        <v>375.51</v>
      </c>
      <c r="D16" s="88">
        <v>246.22</v>
      </c>
      <c r="E16" s="50" t="s">
        <v>78</v>
      </c>
      <c r="F16" s="58">
        <v>351.87</v>
      </c>
      <c r="G16" s="58">
        <v>288.12</v>
      </c>
      <c r="H16" s="61"/>
      <c r="I16" s="61"/>
      <c r="J16" s="61"/>
    </row>
    <row r="17" spans="1:13" ht="14.25">
      <c r="A17" s="15" t="s">
        <v>121</v>
      </c>
      <c r="B17" s="58">
        <v>439.81</v>
      </c>
      <c r="C17" s="58">
        <v>355.33</v>
      </c>
      <c r="D17" s="58">
        <v>279.98</v>
      </c>
      <c r="E17" s="50" t="s">
        <v>78</v>
      </c>
      <c r="F17" s="58">
        <v>439.1</v>
      </c>
      <c r="G17" s="58">
        <v>332.21</v>
      </c>
      <c r="H17" s="61"/>
      <c r="I17" s="61"/>
      <c r="J17" s="61"/>
    </row>
    <row r="18" spans="1:13" ht="14.25">
      <c r="A18" s="15" t="s">
        <v>35</v>
      </c>
      <c r="B18" s="58">
        <v>451.91</v>
      </c>
      <c r="C18" s="58">
        <v>379.13</v>
      </c>
      <c r="D18" s="58">
        <v>244.34</v>
      </c>
      <c r="E18" s="50" t="s">
        <v>78</v>
      </c>
      <c r="F18" s="58">
        <v>431.34</v>
      </c>
      <c r="G18" s="88">
        <v>359.06</v>
      </c>
      <c r="H18" s="61"/>
      <c r="I18" s="61"/>
      <c r="J18" s="61"/>
    </row>
    <row r="19" spans="1:13" ht="16.5">
      <c r="A19" s="15" t="s">
        <v>141</v>
      </c>
      <c r="B19" s="58">
        <v>384.11</v>
      </c>
      <c r="C19" s="58">
        <v>343.08</v>
      </c>
      <c r="D19" s="58">
        <v>194.19</v>
      </c>
      <c r="E19" s="50" t="s">
        <v>78</v>
      </c>
      <c r="F19" s="58">
        <v>378.28</v>
      </c>
      <c r="G19" s="88">
        <v>297.39368181818185</v>
      </c>
      <c r="H19" s="61"/>
      <c r="I19" s="61"/>
      <c r="J19" s="61"/>
    </row>
    <row r="20" spans="1:13" ht="16.5">
      <c r="A20" s="15" t="s">
        <v>142</v>
      </c>
      <c r="B20" s="58">
        <v>310</v>
      </c>
      <c r="C20" s="58">
        <v>300</v>
      </c>
      <c r="D20" s="58">
        <v>175</v>
      </c>
      <c r="E20" s="50" t="s">
        <v>78</v>
      </c>
      <c r="F20" s="58">
        <v>285</v>
      </c>
      <c r="G20" s="88">
        <v>210</v>
      </c>
      <c r="H20" s="61"/>
      <c r="I20" s="61"/>
      <c r="J20" s="61"/>
    </row>
    <row r="21" spans="1:13" ht="14.25">
      <c r="A21" s="148"/>
      <c r="B21" s="147"/>
      <c r="C21" s="147"/>
      <c r="D21" s="147"/>
      <c r="E21" s="147"/>
      <c r="F21" s="147"/>
      <c r="G21" s="147"/>
      <c r="H21" s="147"/>
      <c r="I21" s="147"/>
      <c r="J21" s="65"/>
      <c r="K21" s="65"/>
      <c r="L21" s="65"/>
      <c r="M21" s="65"/>
    </row>
    <row r="22" spans="1:13" ht="15">
      <c r="A22" s="30" t="s">
        <v>53</v>
      </c>
      <c r="B22" s="88"/>
      <c r="C22" s="58"/>
      <c r="D22" s="58"/>
      <c r="E22" s="50"/>
      <c r="F22" s="58"/>
      <c r="G22" s="58"/>
      <c r="H22" s="47"/>
      <c r="I22" s="61"/>
    </row>
    <row r="23" spans="1:13" ht="14.25">
      <c r="A23" s="15" t="s">
        <v>39</v>
      </c>
      <c r="B23" s="88">
        <v>416.16</v>
      </c>
      <c r="C23" s="58">
        <v>348.75</v>
      </c>
      <c r="D23" s="58">
        <v>229.16500000000002</v>
      </c>
      <c r="E23" s="50" t="s">
        <v>78</v>
      </c>
      <c r="F23" s="58">
        <v>407.1</v>
      </c>
      <c r="G23" s="58">
        <v>325</v>
      </c>
      <c r="H23" s="47"/>
      <c r="I23" s="61"/>
    </row>
    <row r="24" spans="1:13" ht="14.25">
      <c r="A24" s="15" t="s">
        <v>40</v>
      </c>
      <c r="B24" s="88">
        <v>464.27</v>
      </c>
      <c r="C24" s="58">
        <v>350</v>
      </c>
      <c r="D24" s="58">
        <v>266.67</v>
      </c>
      <c r="E24" s="50" t="s">
        <v>78</v>
      </c>
      <c r="F24" s="58">
        <v>441.77</v>
      </c>
      <c r="G24" s="88">
        <v>348.33</v>
      </c>
      <c r="H24" s="47"/>
      <c r="I24" s="61"/>
    </row>
    <row r="25" spans="1:13" ht="14.25">
      <c r="A25" s="15" t="s">
        <v>42</v>
      </c>
      <c r="B25" s="88">
        <v>440.6</v>
      </c>
      <c r="C25" s="58">
        <v>358.75</v>
      </c>
      <c r="D25" s="58">
        <v>270</v>
      </c>
      <c r="E25" s="50" t="s">
        <v>78</v>
      </c>
      <c r="F25" s="58">
        <v>395.04999999999995</v>
      </c>
      <c r="G25" s="88">
        <v>365</v>
      </c>
      <c r="H25" s="47"/>
      <c r="I25" s="61"/>
    </row>
    <row r="26" spans="1:13" ht="14.25">
      <c r="A26" s="15" t="s">
        <v>43</v>
      </c>
      <c r="B26" s="88">
        <v>378.4</v>
      </c>
      <c r="C26" s="58">
        <v>352.5</v>
      </c>
      <c r="D26" s="58">
        <v>270</v>
      </c>
      <c r="E26" s="50" t="s">
        <v>78</v>
      </c>
      <c r="F26" s="58">
        <v>349.3</v>
      </c>
      <c r="G26" s="88">
        <v>365</v>
      </c>
      <c r="H26" s="47"/>
      <c r="I26" s="61"/>
    </row>
    <row r="27" spans="1:13" ht="14.25">
      <c r="A27" s="15" t="s">
        <v>44</v>
      </c>
      <c r="B27" s="88">
        <v>363.625</v>
      </c>
      <c r="C27" s="58">
        <v>355</v>
      </c>
      <c r="D27" s="58">
        <v>210</v>
      </c>
      <c r="E27" s="50" t="s">
        <v>78</v>
      </c>
      <c r="F27" s="58">
        <v>357.75</v>
      </c>
      <c r="G27" s="88" t="s">
        <v>78</v>
      </c>
      <c r="H27" s="47"/>
      <c r="I27" s="61"/>
    </row>
    <row r="28" spans="1:13" ht="14.25">
      <c r="A28" s="15" t="s">
        <v>46</v>
      </c>
      <c r="B28" s="88">
        <v>361.75</v>
      </c>
      <c r="C28" s="58">
        <v>343.33</v>
      </c>
      <c r="D28" s="58">
        <v>140</v>
      </c>
      <c r="E28" s="50" t="s">
        <v>78</v>
      </c>
      <c r="F28" s="58">
        <v>348.34</v>
      </c>
      <c r="G28" s="88">
        <v>331</v>
      </c>
      <c r="H28" s="47"/>
      <c r="I28" s="61"/>
    </row>
    <row r="29" spans="1:13" ht="14.25">
      <c r="A29" s="15" t="s">
        <v>47</v>
      </c>
      <c r="B29" s="88">
        <v>357.67500000000001</v>
      </c>
      <c r="C29" s="58">
        <v>333.75</v>
      </c>
      <c r="D29" s="58">
        <v>142.5</v>
      </c>
      <c r="E29" s="50" t="s">
        <v>78</v>
      </c>
      <c r="F29" s="58">
        <v>357.17500000000001</v>
      </c>
      <c r="G29" s="88">
        <v>292.5</v>
      </c>
      <c r="H29" s="47"/>
      <c r="I29" s="61"/>
    </row>
    <row r="30" spans="1:13" ht="14.25">
      <c r="A30" s="15" t="s">
        <v>48</v>
      </c>
      <c r="B30" s="88">
        <v>388.65</v>
      </c>
      <c r="C30" s="58">
        <v>330</v>
      </c>
      <c r="D30" s="58">
        <v>170</v>
      </c>
      <c r="E30" s="50" t="s">
        <v>78</v>
      </c>
      <c r="F30" s="58">
        <v>411.82</v>
      </c>
      <c r="G30" s="88">
        <v>259</v>
      </c>
      <c r="H30" s="47"/>
      <c r="I30" s="61"/>
    </row>
    <row r="31" spans="1:13" ht="14.25">
      <c r="A31" s="15" t="s">
        <v>49</v>
      </c>
      <c r="B31" s="88">
        <v>384.1</v>
      </c>
      <c r="C31" s="58" t="s">
        <v>78</v>
      </c>
      <c r="D31" s="58">
        <v>166.25</v>
      </c>
      <c r="E31" s="50" t="s">
        <v>78</v>
      </c>
      <c r="F31" s="58">
        <v>416.6</v>
      </c>
      <c r="G31" s="88">
        <v>253.54249999999999</v>
      </c>
      <c r="H31" s="47"/>
      <c r="I31" s="61"/>
    </row>
    <row r="32" spans="1:13" ht="14.25">
      <c r="A32" s="15" t="s">
        <v>50</v>
      </c>
      <c r="B32" s="88">
        <v>364.3</v>
      </c>
      <c r="C32" s="58">
        <v>335</v>
      </c>
      <c r="D32" s="58">
        <v>155</v>
      </c>
      <c r="E32" s="50" t="s">
        <v>78</v>
      </c>
      <c r="F32" s="58">
        <v>387.87</v>
      </c>
      <c r="G32" s="88">
        <v>250.833</v>
      </c>
      <c r="H32" s="47"/>
      <c r="I32" s="61"/>
    </row>
    <row r="33" spans="1:10" ht="14.25">
      <c r="A33" s="15" t="s">
        <v>51</v>
      </c>
      <c r="B33" s="88">
        <v>343.4</v>
      </c>
      <c r="C33" s="58" t="s">
        <v>78</v>
      </c>
      <c r="D33" s="58">
        <v>154.5</v>
      </c>
      <c r="E33" s="50" t="s">
        <v>78</v>
      </c>
      <c r="F33" s="58">
        <v>341.42500000000001</v>
      </c>
      <c r="G33" s="88">
        <v>244.5</v>
      </c>
      <c r="H33" s="47"/>
      <c r="I33" s="61"/>
    </row>
    <row r="34" spans="1:10" ht="14.25">
      <c r="A34" s="15" t="s">
        <v>38</v>
      </c>
      <c r="B34" s="88">
        <v>346.33749999999998</v>
      </c>
      <c r="C34" s="58">
        <v>323.75</v>
      </c>
      <c r="D34" s="58">
        <v>156.25</v>
      </c>
      <c r="E34" s="50" t="s">
        <v>78</v>
      </c>
      <c r="F34" s="58">
        <v>325.10000000000002</v>
      </c>
      <c r="G34" s="88">
        <v>236.625</v>
      </c>
      <c r="H34" s="47"/>
      <c r="I34" s="61"/>
    </row>
    <row r="35" spans="1:10" ht="14.25">
      <c r="A35" s="15"/>
      <c r="B35" s="88"/>
      <c r="C35" s="58"/>
      <c r="D35" s="58"/>
      <c r="E35" s="50"/>
      <c r="F35" s="58"/>
      <c r="G35" s="58"/>
      <c r="H35" s="47"/>
      <c r="I35" s="61"/>
    </row>
    <row r="36" spans="1:10" ht="15">
      <c r="A36" s="30" t="s">
        <v>158</v>
      </c>
      <c r="B36" s="88"/>
      <c r="C36" s="58"/>
      <c r="D36" s="58"/>
      <c r="E36" s="50"/>
      <c r="F36" s="58"/>
      <c r="G36" s="58"/>
      <c r="H36" s="47"/>
      <c r="I36" s="61"/>
    </row>
    <row r="37" spans="1:10" ht="14.25">
      <c r="A37" s="15" t="s">
        <v>39</v>
      </c>
      <c r="B37" s="88">
        <v>342.85</v>
      </c>
      <c r="C37" s="58">
        <v>322.5</v>
      </c>
      <c r="D37" s="58">
        <v>173.75</v>
      </c>
      <c r="E37" s="50" t="s">
        <v>78</v>
      </c>
      <c r="F37" s="58">
        <v>314.27499999999998</v>
      </c>
      <c r="G37" s="58">
        <v>240</v>
      </c>
      <c r="H37" s="47"/>
      <c r="I37" s="61"/>
    </row>
    <row r="38" spans="1:10" ht="14.25">
      <c r="A38" s="15" t="s">
        <v>40</v>
      </c>
      <c r="B38" s="88">
        <v>316.17500000000001</v>
      </c>
      <c r="C38" s="58">
        <v>315</v>
      </c>
      <c r="D38" s="58">
        <v>177.5</v>
      </c>
      <c r="E38" s="50" t="s">
        <v>78</v>
      </c>
      <c r="F38" s="58">
        <v>283.17500000000001</v>
      </c>
      <c r="G38" s="58">
        <v>225</v>
      </c>
      <c r="H38" s="47"/>
      <c r="I38" s="61"/>
    </row>
    <row r="39" spans="1:10" ht="14.25">
      <c r="A39" s="15" t="s">
        <v>42</v>
      </c>
      <c r="B39" s="88">
        <v>303.63299999999998</v>
      </c>
      <c r="C39" s="58">
        <v>301.25</v>
      </c>
      <c r="D39" s="58">
        <v>175</v>
      </c>
      <c r="E39" s="50" t="s">
        <v>78</v>
      </c>
      <c r="F39" s="58">
        <v>275.89999999999998</v>
      </c>
      <c r="G39" s="58">
        <v>268.33</v>
      </c>
      <c r="H39" s="47"/>
      <c r="I39" s="61"/>
    </row>
    <row r="40" spans="1:10" ht="14.25">
      <c r="A40" s="15" t="s">
        <v>43</v>
      </c>
      <c r="B40" s="88">
        <v>316.97000000000003</v>
      </c>
      <c r="C40" s="58">
        <v>272.5</v>
      </c>
      <c r="D40" s="58">
        <v>173</v>
      </c>
      <c r="E40" s="50" t="s">
        <v>78</v>
      </c>
      <c r="F40" s="58">
        <v>288.92</v>
      </c>
      <c r="G40" s="58">
        <v>266.5</v>
      </c>
      <c r="H40" s="47"/>
      <c r="I40" s="61"/>
    </row>
    <row r="41" spans="1:10" ht="14.25">
      <c r="A41" s="15" t="s">
        <v>44</v>
      </c>
      <c r="B41" s="88">
        <v>304.77499999999998</v>
      </c>
      <c r="C41" s="58">
        <v>265</v>
      </c>
      <c r="D41" s="58">
        <v>182.5</v>
      </c>
      <c r="E41" s="50" t="s">
        <v>78</v>
      </c>
      <c r="F41" s="58">
        <v>288.52499999999998</v>
      </c>
      <c r="G41" s="58">
        <v>255.625</v>
      </c>
      <c r="H41" s="47"/>
      <c r="I41" s="61"/>
    </row>
    <row r="42" spans="1:10" ht="16.5">
      <c r="A42" s="79" t="s">
        <v>155</v>
      </c>
      <c r="B42" s="111"/>
      <c r="C42" s="111"/>
      <c r="D42" s="111"/>
      <c r="E42" s="111"/>
      <c r="F42" s="111"/>
      <c r="G42" s="111"/>
      <c r="I42" s="64"/>
    </row>
    <row r="43" spans="1:10" ht="16.5">
      <c r="A43" s="40" t="s">
        <v>156</v>
      </c>
      <c r="B43" s="66"/>
      <c r="C43" s="66"/>
      <c r="D43" s="66"/>
      <c r="E43" s="66"/>
      <c r="F43" s="66"/>
      <c r="G43" s="66"/>
      <c r="I43" s="64"/>
      <c r="J43" s="64"/>
    </row>
    <row r="44" spans="1:10" ht="14.25">
      <c r="A44" s="15" t="s">
        <v>157</v>
      </c>
      <c r="B44" s="15"/>
      <c r="C44" s="15"/>
      <c r="D44" s="15"/>
      <c r="E44" s="15"/>
      <c r="F44" s="66"/>
      <c r="G44" s="66"/>
      <c r="I44" s="64"/>
      <c r="J44" s="64"/>
    </row>
    <row r="45" spans="1:10" ht="14.25">
      <c r="A45" s="20" t="s">
        <v>57</v>
      </c>
      <c r="B45" s="36">
        <f>Contents!A18</f>
        <v>45729</v>
      </c>
      <c r="C45" s="15"/>
      <c r="D45" s="15"/>
      <c r="E45" s="15"/>
      <c r="F45" s="66"/>
      <c r="G45" s="66"/>
      <c r="I45" s="67"/>
      <c r="J45" s="67"/>
    </row>
    <row r="46" spans="1:10" ht="14.25">
      <c r="F46" s="66"/>
      <c r="G46" s="66"/>
      <c r="I46" s="67"/>
      <c r="J46" s="67"/>
    </row>
    <row r="47" spans="1:10" ht="14.25">
      <c r="B47" s="150"/>
      <c r="F47" s="66"/>
      <c r="G47" s="66"/>
      <c r="I47" s="64"/>
      <c r="J47" s="64"/>
    </row>
    <row r="48" spans="1:10">
      <c r="B48" s="90"/>
      <c r="C48" s="92"/>
      <c r="D48" s="92"/>
      <c r="E48" s="92"/>
      <c r="F48" s="92"/>
      <c r="G48" s="92"/>
      <c r="I48" s="64"/>
      <c r="J48" s="64"/>
    </row>
    <row r="49" spans="2:10">
      <c r="I49" s="64"/>
      <c r="J49" s="64"/>
    </row>
    <row r="50" spans="2:10">
      <c r="B50" s="90"/>
      <c r="I50" s="64"/>
      <c r="J50" s="64"/>
    </row>
    <row r="51" spans="2:10">
      <c r="I51" s="64"/>
      <c r="J51" s="64"/>
    </row>
    <row r="52" spans="2:10">
      <c r="I52" s="64"/>
      <c r="J52" s="64"/>
    </row>
    <row r="54" spans="2:10">
      <c r="I54" s="68"/>
      <c r="J54" s="68"/>
    </row>
    <row r="55" spans="2:10">
      <c r="I55" s="68"/>
      <c r="J55" s="68"/>
    </row>
  </sheetData>
  <phoneticPr fontId="57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B222-B399-463A-BF74-4B0DA2C5F6F2}">
  <dimension ref="A1:E21"/>
  <sheetViews>
    <sheetView zoomScale="90" zoomScaleNormal="90" workbookViewId="0">
      <selection activeCell="D20" sqref="D20"/>
    </sheetView>
  </sheetViews>
  <sheetFormatPr defaultColWidth="9.140625" defaultRowHeight="12.75"/>
  <cols>
    <col min="1" max="1" width="12.28515625" style="156" customWidth="1"/>
    <col min="2" max="2" width="15.5703125" style="156" customWidth="1"/>
    <col min="3" max="3" width="12.28515625" style="156" customWidth="1"/>
    <col min="4" max="4" width="17.5703125" style="156" customWidth="1"/>
    <col min="5" max="16384" width="9.140625" style="156"/>
  </cols>
  <sheetData>
    <row r="1" spans="1:5" ht="51">
      <c r="A1" s="154" t="s">
        <v>160</v>
      </c>
      <c r="B1" s="155" t="s">
        <v>165</v>
      </c>
      <c r="C1" s="155" t="s">
        <v>167</v>
      </c>
      <c r="D1" s="155" t="s">
        <v>164</v>
      </c>
    </row>
    <row r="2" spans="1:5">
      <c r="A2" t="s">
        <v>113</v>
      </c>
      <c r="B2" s="149">
        <v>870.10473053516546</v>
      </c>
      <c r="C2" s="149">
        <v>894.59691739600987</v>
      </c>
      <c r="D2" s="158">
        <v>803.82287941527056</v>
      </c>
      <c r="E2" s="160"/>
    </row>
    <row r="3" spans="1:5">
      <c r="A3" t="s">
        <v>114</v>
      </c>
      <c r="B3" s="149">
        <v>705.91469587176107</v>
      </c>
      <c r="C3" s="149">
        <v>743.3632977758956</v>
      </c>
      <c r="D3" s="158">
        <v>626.8331141382771</v>
      </c>
      <c r="E3" s="160"/>
    </row>
    <row r="4" spans="1:5">
      <c r="A4" t="s">
        <v>115</v>
      </c>
      <c r="B4" s="149">
        <v>697.42374051069703</v>
      </c>
      <c r="C4" s="149">
        <v>712.03035628019325</v>
      </c>
      <c r="D4" s="158">
        <v>627.35930735930731</v>
      </c>
      <c r="E4" s="160"/>
    </row>
    <row r="5" spans="1:5">
      <c r="A5" t="s">
        <v>116</v>
      </c>
      <c r="B5" s="149">
        <v>762.39173724825889</v>
      </c>
      <c r="C5" s="149">
        <v>788.43810865644025</v>
      </c>
      <c r="D5" s="158">
        <v>701.26457313821447</v>
      </c>
      <c r="E5" s="160"/>
    </row>
    <row r="6" spans="1:5">
      <c r="A6" t="s">
        <v>117</v>
      </c>
      <c r="B6" s="149">
        <v>723.53585833820387</v>
      </c>
      <c r="C6" s="149">
        <v>731.41713372074798</v>
      </c>
      <c r="D6" s="158">
        <v>625.54825624254966</v>
      </c>
      <c r="E6" s="160"/>
    </row>
    <row r="7" spans="1:5">
      <c r="A7" t="s">
        <v>118</v>
      </c>
      <c r="B7" s="149">
        <v>649.23583737010506</v>
      </c>
      <c r="C7" s="149">
        <v>674.82078922768051</v>
      </c>
      <c r="D7" s="158">
        <v>519.05268327686815</v>
      </c>
      <c r="E7" s="160"/>
    </row>
    <row r="8" spans="1:5">
      <c r="A8" t="s">
        <v>119</v>
      </c>
      <c r="B8" s="149">
        <v>696.91426297132818</v>
      </c>
      <c r="C8" s="149">
        <v>712.32106475468981</v>
      </c>
      <c r="D8" s="158">
        <v>642.15587748604059</v>
      </c>
      <c r="E8" s="160"/>
    </row>
    <row r="9" spans="1:5">
      <c r="A9" t="s">
        <v>120</v>
      </c>
      <c r="B9" s="149">
        <v>1146.8746400338791</v>
      </c>
      <c r="C9" s="149">
        <v>1273.7420109872012</v>
      </c>
      <c r="D9" s="158">
        <v>1024.6793439048872</v>
      </c>
      <c r="E9" s="160"/>
    </row>
    <row r="10" spans="1:5">
      <c r="A10" t="s">
        <v>121</v>
      </c>
      <c r="B10" s="149">
        <v>1494.5327373109983</v>
      </c>
      <c r="C10" s="149">
        <v>1634.8602557171089</v>
      </c>
      <c r="D10" s="158">
        <v>1373.1670744714222</v>
      </c>
      <c r="E10" s="160"/>
    </row>
    <row r="11" spans="1:5">
      <c r="A11" t="s">
        <v>35</v>
      </c>
      <c r="B11" s="149">
        <v>1091.366993694711</v>
      </c>
      <c r="C11" s="149">
        <v>1495.4120067601482</v>
      </c>
      <c r="D11" s="158">
        <v>911.22341622749229</v>
      </c>
      <c r="E11" s="160"/>
    </row>
    <row r="12" spans="1:5">
      <c r="A12" t="s">
        <v>53</v>
      </c>
      <c r="B12" s="149">
        <v>905.83076494761281</v>
      </c>
      <c r="C12" s="149">
        <v>1097.431854743083</v>
      </c>
      <c r="D12" s="158">
        <v>885.83975625823462</v>
      </c>
      <c r="E12" s="160"/>
    </row>
    <row r="13" spans="1:5">
      <c r="A13" s="83" t="s">
        <v>166</v>
      </c>
      <c r="B13" s="149">
        <v>1049.4215603237344</v>
      </c>
      <c r="C13" s="149">
        <v>1032.4527020986261</v>
      </c>
      <c r="D13" s="158">
        <v>1130.6231531150008</v>
      </c>
      <c r="E13" s="160"/>
    </row>
    <row r="14" spans="1:5">
      <c r="A14" s="157"/>
      <c r="B14" s="158"/>
      <c r="C14" s="158"/>
      <c r="D14" s="158"/>
    </row>
    <row r="15" spans="1:5">
      <c r="A15" s="157"/>
      <c r="B15" s="158"/>
      <c r="C15" s="158"/>
      <c r="D15" s="158"/>
    </row>
    <row r="16" spans="1:5">
      <c r="A16" s="157"/>
      <c r="B16" s="158"/>
      <c r="C16" s="158"/>
      <c r="D16" s="158"/>
    </row>
    <row r="17" spans="1:4">
      <c r="A17" s="157"/>
      <c r="B17" s="158"/>
      <c r="C17" s="158"/>
      <c r="D17" s="158"/>
    </row>
    <row r="18" spans="1:4">
      <c r="A18" s="157"/>
      <c r="B18" s="158"/>
      <c r="C18" s="158"/>
      <c r="D18" s="158"/>
    </row>
    <row r="19" spans="1:4">
      <c r="A19" s="157"/>
      <c r="B19" s="158"/>
      <c r="C19" s="158"/>
      <c r="D19" s="158"/>
    </row>
    <row r="20" spans="1:4">
      <c r="A20" s="157"/>
      <c r="B20" s="158"/>
      <c r="C20" s="158"/>
      <c r="D20" s="158"/>
    </row>
    <row r="21" spans="1:4">
      <c r="A21" s="159"/>
      <c r="B21" s="158"/>
      <c r="C21" s="158"/>
      <c r="D21" s="158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F9FD27-698A-4259-BC06-6D4A65A05AE8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818c5c2-d41f-4dce-801c-4e3595afcb3f"/>
    <ds:schemaRef ds:uri="http://purl.org/dc/terms/"/>
    <ds:schemaRef ds:uri="http://schemas.microsoft.com/office/2006/documentManagement/types"/>
    <ds:schemaRef ds:uri="c49de858-f9fd-4eb6-bcba-50396646711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soybeans, canola, sunflowerseed, biofuel, prices</cp:keywords>
  <dc:description/>
  <cp:lastModifiedBy>Boulanger, Stephanie - REE-ERS</cp:lastModifiedBy>
  <cp:revision/>
  <dcterms:created xsi:type="dcterms:W3CDTF">2001-11-13T16:22:15Z</dcterms:created>
  <dcterms:modified xsi:type="dcterms:W3CDTF">2025-03-13T12:42:01Z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